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1vCh2p00QNZ2IZMmmyjUa678VmyeNqC6yPmJTvpIXMqRYcY7/jl8LsrjhOnZSZOwKBvqhzgrzIw1oe4oMKMSA==" workbookSaltValue="qGXxXYRmxv72GlfzC/CV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V15" i="11"/>
  <c r="BH15" i="11"/>
  <c r="BM16" i="11"/>
  <c r="P17" i="17"/>
  <c r="BL17" i="11"/>
  <c r="BK12" i="11"/>
  <c r="BF10" i="11"/>
  <c r="BK9" i="11"/>
  <c r="S13" i="16"/>
  <c r="P13" i="16"/>
  <c r="H13" i="21"/>
  <c r="AN13" i="20"/>
  <c r="F15" i="17"/>
  <c r="AQ15" i="17" s="1"/>
  <c r="M18" i="2"/>
  <c r="AO12" i="11"/>
  <c r="AN12" i="11"/>
  <c r="E12" i="6"/>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D17" i="8" l="1"/>
  <c r="BG12" i="8"/>
  <c r="K12" i="7" s="1"/>
  <c r="BG10" i="8"/>
  <c r="AP16" i="20"/>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J17" i="11"/>
  <c r="BH9" i="16"/>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J20" i="20"/>
  <c r="AG20" i="20"/>
  <c r="AE20" i="20"/>
  <c r="Y20" i="20"/>
  <c r="F20" i="20"/>
  <c r="O16" i="11"/>
  <c r="T20" i="21"/>
  <c r="AI20" i="20"/>
  <c r="AM20" i="20"/>
  <c r="AC20" i="20"/>
  <c r="AB20" i="20"/>
  <c r="I20" i="20"/>
  <c r="AD20" i="20"/>
  <c r="AX20" i="20"/>
  <c r="G18" i="14"/>
  <c r="U12" i="11"/>
  <c r="O10" i="11"/>
  <c r="AL20" i="20"/>
  <c r="P20" i="20"/>
  <c r="Q20" i="20"/>
  <c r="AF20" i="20"/>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<sst xmlns="http://schemas.openxmlformats.org/spreadsheetml/2006/main" count="2102" uniqueCount="916">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</sst>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jniED84yTcsv98Q97L5T1CdGi6C4to4/R0UyRJNk9TomExXcUWb4oHbQmVZ+k8soEr/xvLUrPFX2TYv4CLSSA==" saltValue="3fcrXpetIFDDo3NOpL2V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33</v>
      </c>
      <c r="D10" s="225">
        <f>IF(ISNUMBER(Datos!I10),Datos!I10," - ")</f>
        <v>33</v>
      </c>
      <c r="E10" s="226">
        <f>IF(ISNUMBER(Datos!J10),Datos!J10," - ")</f>
        <v>5</v>
      </c>
      <c r="F10" s="226">
        <f>IF(ISNUMBER(Datos!K10),Datos!K10," - ")</f>
        <v>4</v>
      </c>
      <c r="G10" s="1034" t="str">
        <f>IF(Datos!E10&lt;&gt;"",Datos!E10,Datos!D10)</f>
        <v>37</v>
      </c>
      <c r="H10" s="227">
        <f>IF(ISNUMBER(Datos!L10),Datos!L10," - ")</f>
        <v>34</v>
      </c>
      <c r="I10" s="1044" t="str">
        <f>IF(ISNUMBER(Datos!AS10/Datos!BM10),Datos!AS10/Datos!BM10," - ")</f>
        <v xml:space="preserve"> - </v>
      </c>
      <c r="J10" s="1045">
        <f>IF(ISNUMBER(Datos!BY10/Datos!CN10),Datos!BY10/Datos!CN10," - ")</f>
        <v>0</v>
      </c>
      <c r="K10" s="230">
        <f t="shared" ref="K10:K12" si="1">IF(ISNUMBER((E10-F10)/C10),(E10-F10)/C10," - ")</f>
        <v>3.0303030303030304E-2</v>
      </c>
      <c r="L10" s="1025">
        <f>IF(ISNUMBER(NºAsuntos!I10/NºAsuntos!G10),(NºAsuntos!I10/NºAsuntos!G10)*11," - ")</f>
        <v>93.5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37.129527991218445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v>
      </c>
      <c r="D13" s="1049">
        <f>SUBTOTAL(9,D9:D12)</f>
        <v>33</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1237</v>
      </c>
      <c r="D16" s="225">
        <f>IF(ISNUMBER(IF(D_I="SI",Datos!I16,Datos!I16+Datos!AC16)),IF(D_I="SI",Datos!I16,Datos!I16+Datos!AC16)," - ")</f>
        <v>1228</v>
      </c>
      <c r="E16" s="226">
        <f>IF(ISNUMBER(IF(D_I="SI",Datos!J16,Datos!J16+Datos!AD16)),IF(D_I="SI",Datos!J16,Datos!J16+Datos!AD16)," - ")</f>
        <v>541</v>
      </c>
      <c r="F16" s="226">
        <f>IF(ISNUMBER(IF(D_I="SI",Datos!K16,Datos!K16+Datos!AE16)),IF(D_I="SI",Datos!K16,Datos!K16+Datos!AE16)," - ")</f>
        <v>425</v>
      </c>
      <c r="G16" s="1034" t="str">
        <f>IF(Datos!E16&lt;&gt;"",Datos!E16,Datos!D16)</f>
        <v>04</v>
      </c>
      <c r="H16" s="227">
        <f>IF(ISNUMBER(IF(D_I="SI",Datos!L16,Datos!L16+Datos!AF16)),IF(D_I="SI",Datos!L16,Datos!L16+Datos!AF16)," - ")</f>
        <v>1353</v>
      </c>
      <c r="I16" s="1044" t="str">
        <f>IF(ISNUMBER(Datos!AS16/Datos!BM16),Datos!AS16/Datos!BM16," - ")</f>
        <v xml:space="preserve"> - </v>
      </c>
      <c r="J16" s="1045">
        <f>IF(ISNUMBER(Datos!BY16/Datos!CN16),Datos!BY16/Datos!CN16," - ")</f>
        <v>0</v>
      </c>
      <c r="K16" s="230">
        <f t="shared" si="3"/>
        <v>9.3775262732417139E-2</v>
      </c>
      <c r="L16" s="1025">
        <f>IF(ISNUMBER(NºAsuntos!I16/NºAsuntos!G16),(NºAsuntos!I16/NºAsuntos!G16)*11," - ")</f>
        <v>35.018823529411762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152</v>
      </c>
      <c r="D17" s="225">
        <f>IF(ISNUMBER(IF(D_I="SI",Datos!I17,Datos!I17+Datos!AC17)),IF(D_I="SI",Datos!I17,Datos!I17+Datos!AC17)," - ")</f>
        <v>152</v>
      </c>
      <c r="E17" s="226">
        <f>IF(ISNUMBER(IF(D_I="SI",Datos!J17,Datos!J17+Datos!AD17)),IF(D_I="SI",Datos!J17,Datos!J17+Datos!AD17)," - ")</f>
        <v>75</v>
      </c>
      <c r="F17" s="226">
        <f>IF(ISNUMBER(IF(D_I="SI",Datos!K17,Datos!K17+Datos!AE17)),IF(D_I="SI",Datos!K17,Datos!K17+Datos!AE17)," - ")</f>
        <v>89</v>
      </c>
      <c r="G17" s="1034" t="str">
        <f>IF(Datos!E17&lt;&gt;"",Datos!E17,Datos!D17)</f>
        <v>37</v>
      </c>
      <c r="H17" s="227">
        <f>IF(ISNUMBER(IF(D_I="SI",Datos!L17,Datos!L17+Datos!AF17)),IF(D_I="SI",Datos!L17,Datos!L17+Datos!AF17)," - ")</f>
        <v>138</v>
      </c>
      <c r="I17" s="1044" t="str">
        <f>IF(ISNUMBER(Datos!AS17/Datos!BM17),Datos!AS17/Datos!BM17," - ")</f>
        <v xml:space="preserve"> - </v>
      </c>
      <c r="J17" s="1045" t="str">
        <f>IF(ISNUMBER((Datos!BY17+Datos!BZ17)/Datos!CN17),(Datos!BY17+Datos!BZ17)/Datos!CN17," - ")</f>
        <v xml:space="preserve"> - </v>
      </c>
      <c r="K17" s="230">
        <f t="shared" si="3"/>
        <v>-9.2105263157894732E-2</v>
      </c>
      <c r="L17" s="1025">
        <f>IF(ISNUMBER(NºAsuntos!I17/NºAsuntos!G17),(NºAsuntos!I17/NºAsuntos!G17)*11," - ")</f>
        <v>17.056179775280899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1389</v>
      </c>
      <c r="D18" s="1049">
        <f>SUBTOTAL(9,D15:D17)</f>
        <v>1380</v>
      </c>
      <c r="E18" s="1050">
        <f>SUBTOTAL(9,E15:E17)</f>
        <v>616</v>
      </c>
      <c r="F18" s="1050">
        <f>SUBTOTAL(9,F15:F17)</f>
        <v>514</v>
      </c>
      <c r="G18" s="1052" t="str">
        <f ca="1">INDIRECT(CONCATENATE("G",ROW()-1))</f>
        <v>37</v>
      </c>
      <c r="H18" s="1053">
        <f ca="1">SUMIF(G$14:G17,G18,H$14:H17)</f>
        <v>138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1422</v>
      </c>
      <c r="D19" s="1071">
        <f>SUBTOTAL(9,D9:D18)</f>
        <v>1413</v>
      </c>
      <c r="E19" s="1072">
        <f>SUBTOTAL(9,E9:E18)</f>
        <v>621</v>
      </c>
      <c r="F19" s="1072">
        <f>SUBTOTAL(9,F9:F18)</f>
        <v>518</v>
      </c>
      <c r="G19" s="1073"/>
      <c r="H19" s="1074">
        <f ca="1">SUMIF(B9:B18,"TOTAL",H9:H18)</f>
        <v>138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AUlxtwcufCnziAT+UkKIJkMy7yxPCjICTW9Qf/V9e56gK8yDGimfkIfZNGUCTcFQxHy9tQgXK3MVG03iZdj7w==" saltValue="37p7A1f1MNXzsGf200Jh6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45kR0u0bfIRxlytWV+Bu62P8AAbUOD5Xm7gql5L7Q9nJ0UKsiznC16AEThtyYXy8yJm4/Lpeb5EuuArdOqM6g==" saltValue="vYcCdnOdL3h6inB1hL+g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v>
      </c>
      <c r="J10" s="181">
        <v>5</v>
      </c>
      <c r="K10" s="181">
        <v>4</v>
      </c>
      <c r="L10" s="181">
        <v>34</v>
      </c>
      <c r="M10" s="181">
        <v>2</v>
      </c>
      <c r="N10" s="181">
        <v>3</v>
      </c>
      <c r="O10" s="181">
        <v>0</v>
      </c>
      <c r="P10" s="181">
        <v>2</v>
      </c>
      <c r="Q10" s="181">
        <v>1</v>
      </c>
      <c r="R10" s="181">
        <v>5</v>
      </c>
      <c r="S10" s="181">
        <v>34</v>
      </c>
      <c r="T10" s="181">
        <v>4</v>
      </c>
      <c r="U10" s="181">
        <v>4</v>
      </c>
      <c r="V10" s="181">
        <v>34</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34</v>
      </c>
      <c r="AZ10" s="129">
        <f t="shared" si="0"/>
        <v>4</v>
      </c>
      <c r="BA10" s="129">
        <f t="shared" si="0"/>
        <v>4</v>
      </c>
      <c r="BB10" s="129">
        <f t="shared" si="0"/>
        <v>34</v>
      </c>
      <c r="BC10" s="125">
        <f t="shared" si="0"/>
        <v>3</v>
      </c>
      <c r="BD10" s="126">
        <f>IF(ISNUMBER(BA10/AZ10),BA10/AZ10," - ")</f>
        <v>1</v>
      </c>
      <c r="BE10" s="127">
        <f>IF(ISNUMBER(BB10/BA10),BB10/BA10, " - ")</f>
        <v>8.5</v>
      </c>
      <c r="BF10" s="127">
        <f>IF(ISNUMBER(BC10/BA10),BC10/BA10, " - ")</f>
        <v>0.75</v>
      </c>
      <c r="BG10" s="196">
        <f>IF(ISNUMBER((AY10+AZ10)/BA10),(AY10+AZ10)/BA10," - ")</f>
        <v>9.5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3039</v>
      </c>
      <c r="J12" s="183">
        <v>804</v>
      </c>
      <c r="K12" s="183">
        <v>852</v>
      </c>
      <c r="L12" s="183">
        <v>2991</v>
      </c>
      <c r="M12" s="183">
        <v>244</v>
      </c>
      <c r="N12" s="183">
        <v>268</v>
      </c>
      <c r="O12" s="181">
        <v>417</v>
      </c>
      <c r="P12" s="183">
        <v>312</v>
      </c>
      <c r="Q12" s="183">
        <v>210</v>
      </c>
      <c r="R12" s="183">
        <v>2578</v>
      </c>
      <c r="S12" s="183">
        <v>2941</v>
      </c>
      <c r="T12" s="183">
        <v>794</v>
      </c>
      <c r="U12" s="183">
        <v>774</v>
      </c>
      <c r="V12" s="183">
        <v>2961</v>
      </c>
      <c r="W12" s="183">
        <v>240</v>
      </c>
      <c r="X12" s="189">
        <v>357</v>
      </c>
      <c r="Y12" s="191">
        <v>48</v>
      </c>
      <c r="Z12" s="181">
        <v>95</v>
      </c>
      <c r="AA12" s="181">
        <v>59</v>
      </c>
      <c r="AB12" s="181">
        <v>84</v>
      </c>
      <c r="AC12" s="183">
        <v>0</v>
      </c>
      <c r="AD12" s="183">
        <v>0</v>
      </c>
      <c r="AE12" s="183">
        <v>0</v>
      </c>
      <c r="AF12" s="189">
        <v>0</v>
      </c>
      <c r="AG12" s="202">
        <v>113</v>
      </c>
      <c r="AH12" s="183">
        <v>43</v>
      </c>
      <c r="AI12" s="183">
        <v>56</v>
      </c>
      <c r="AJ12" s="203">
        <v>100</v>
      </c>
      <c r="AK12" s="182">
        <v>0</v>
      </c>
      <c r="AL12" s="183">
        <v>0</v>
      </c>
      <c r="AM12" s="183">
        <v>0</v>
      </c>
      <c r="AN12" s="189">
        <v>0</v>
      </c>
      <c r="AO12" s="259">
        <v>3</v>
      </c>
      <c r="AP12" s="155">
        <v>3</v>
      </c>
      <c r="AQ12" s="155">
        <v>3</v>
      </c>
      <c r="AR12" s="154">
        <v>3</v>
      </c>
      <c r="AS12" s="340" t="s">
        <v>794</v>
      </c>
      <c r="AT12" s="203"/>
      <c r="AU12" s="202"/>
      <c r="AV12" s="203"/>
      <c r="AW12" s="202"/>
      <c r="AX12" s="203"/>
      <c r="AY12" s="126">
        <f t="shared" si="1"/>
        <v>3054</v>
      </c>
      <c r="AZ12" s="127">
        <f t="shared" si="1"/>
        <v>837</v>
      </c>
      <c r="BA12" s="127">
        <f t="shared" si="1"/>
        <v>830</v>
      </c>
      <c r="BB12" s="127">
        <f t="shared" si="1"/>
        <v>3061</v>
      </c>
      <c r="BC12" s="125">
        <f>IF(ISNUMBER(X12),X12," - ")</f>
        <v>357</v>
      </c>
      <c r="BD12" s="126">
        <f t="shared" si="2"/>
        <v>0.99163679808841099</v>
      </c>
      <c r="BE12" s="127">
        <f t="shared" si="3"/>
        <v>3.6879518072289157</v>
      </c>
      <c r="BF12" s="127">
        <f t="shared" si="4"/>
        <v>0.43012048192771085</v>
      </c>
      <c r="BG12" s="196">
        <f t="shared" si="5"/>
        <v>4.6879518072289157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3072</v>
      </c>
      <c r="J13" s="184">
        <f t="shared" si="6"/>
        <v>809</v>
      </c>
      <c r="K13" s="184">
        <f t="shared" si="6"/>
        <v>856</v>
      </c>
      <c r="L13" s="184">
        <f t="shared" si="6"/>
        <v>3025</v>
      </c>
      <c r="M13" s="184">
        <f t="shared" si="6"/>
        <v>246</v>
      </c>
      <c r="N13" s="184">
        <f t="shared" si="6"/>
        <v>271</v>
      </c>
      <c r="O13" s="184">
        <f t="shared" si="6"/>
        <v>417</v>
      </c>
      <c r="P13" s="184">
        <f t="shared" si="6"/>
        <v>314</v>
      </c>
      <c r="Q13" s="184">
        <f t="shared" si="6"/>
        <v>211</v>
      </c>
      <c r="R13" s="184">
        <f t="shared" si="6"/>
        <v>2583</v>
      </c>
      <c r="S13" s="184">
        <f t="shared" si="6"/>
        <v>2975</v>
      </c>
      <c r="T13" s="184">
        <f t="shared" si="6"/>
        <v>798</v>
      </c>
      <c r="U13" s="184">
        <f t="shared" si="6"/>
        <v>778</v>
      </c>
      <c r="V13" s="184">
        <f t="shared" si="6"/>
        <v>2995</v>
      </c>
      <c r="W13" s="184">
        <f t="shared" si="6"/>
        <v>243</v>
      </c>
      <c r="X13" s="184">
        <f t="shared" si="6"/>
        <v>357</v>
      </c>
      <c r="Y13" s="184">
        <f t="shared" si="6"/>
        <v>48</v>
      </c>
      <c r="Z13" s="184">
        <f t="shared" si="6"/>
        <v>95</v>
      </c>
      <c r="AA13" s="184">
        <f t="shared" si="6"/>
        <v>59</v>
      </c>
      <c r="AB13" s="184">
        <f t="shared" si="6"/>
        <v>84</v>
      </c>
      <c r="AC13" s="184">
        <f t="shared" si="6"/>
        <v>0</v>
      </c>
      <c r="AD13" s="184">
        <f t="shared" si="6"/>
        <v>0</v>
      </c>
      <c r="AE13" s="184">
        <f t="shared" si="6"/>
        <v>0</v>
      </c>
      <c r="AF13" s="184">
        <f>SUBTOTAL(9,AF9:AF12)</f>
        <v>0</v>
      </c>
      <c r="AG13" s="184">
        <f t="shared" ref="AG13:AT13" si="7">SUBTOTAL(9,AG8:AG12)</f>
        <v>113</v>
      </c>
      <c r="AH13" s="184">
        <f t="shared" si="7"/>
        <v>43</v>
      </c>
      <c r="AI13" s="184">
        <f t="shared" si="7"/>
        <v>56</v>
      </c>
      <c r="AJ13" s="184">
        <f t="shared" si="7"/>
        <v>100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3088</v>
      </c>
      <c r="AZ13" s="184">
        <f>SUBTOTAL(9,AZ8:AZ12)</f>
        <v>841</v>
      </c>
      <c r="BA13" s="184">
        <f>SUBTOTAL(9,BA8:BA12)</f>
        <v>834</v>
      </c>
      <c r="BB13" s="184">
        <f>SUBTOTAL(9,BB8:BB12)</f>
        <v>3095</v>
      </c>
      <c r="BC13" s="184">
        <f>SUBTOTAL(9,BC8:BC12)</f>
        <v>360</v>
      </c>
      <c r="BD13" s="205">
        <f>IF(ISNUMBER(BA13/AZ13),BA13/AZ13," - ")</f>
        <v>0.99167657550535082</v>
      </c>
      <c r="BE13" s="206">
        <f>IF(ISNUMBER(BB13/BA13),BB13/BA13, " - ")</f>
        <v>3.7110311750599521</v>
      </c>
      <c r="BF13" s="206">
        <f>IF(ISNUMBER(BC13/BA13),BC13/BA13, " - ")</f>
        <v>0.43165467625899279</v>
      </c>
      <c r="BG13" s="207">
        <f>IF(ISNUMBER((AY13+AZ13)/BA13),(AY13+AZ13)/BA13," - ")</f>
        <v>4.7110311750599516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1228</v>
      </c>
      <c r="J16" s="183">
        <v>541</v>
      </c>
      <c r="K16" s="183">
        <v>425</v>
      </c>
      <c r="L16" s="183">
        <v>1353</v>
      </c>
      <c r="M16" s="183">
        <v>105</v>
      </c>
      <c r="N16" s="183">
        <v>193</v>
      </c>
      <c r="O16" s="181">
        <v>2</v>
      </c>
      <c r="P16" s="183">
        <v>21</v>
      </c>
      <c r="Q16" s="183">
        <v>13</v>
      </c>
      <c r="R16" s="183">
        <v>177</v>
      </c>
      <c r="S16" s="183">
        <v>1424</v>
      </c>
      <c r="T16" s="183">
        <v>505</v>
      </c>
      <c r="U16" s="183">
        <v>408</v>
      </c>
      <c r="V16" s="183">
        <v>1521</v>
      </c>
      <c r="W16" s="183">
        <v>112</v>
      </c>
      <c r="X16" s="189">
        <v>180</v>
      </c>
      <c r="Y16" s="202">
        <v>0</v>
      </c>
      <c r="Z16" s="183">
        <v>0</v>
      </c>
      <c r="AA16" s="183">
        <v>0</v>
      </c>
      <c r="AB16" s="183">
        <v>0</v>
      </c>
      <c r="AC16" s="183">
        <v>0</v>
      </c>
      <c r="AD16" s="183">
        <v>3</v>
      </c>
      <c r="AE16" s="183">
        <v>1</v>
      </c>
      <c r="AF16" s="189">
        <v>2</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1424</v>
      </c>
      <c r="AZ16" s="127">
        <f t="shared" si="9"/>
        <v>505</v>
      </c>
      <c r="BA16" s="127">
        <f t="shared" si="9"/>
        <v>408</v>
      </c>
      <c r="BB16" s="127">
        <f t="shared" si="9"/>
        <v>1521</v>
      </c>
      <c r="BC16" s="125">
        <f>IF(ISNUMBER(W16),W16," - ")</f>
        <v>112</v>
      </c>
      <c r="BD16" s="126">
        <f t="shared" ref="BD16" si="11">IF(ISNUMBER(BA16/AZ16),BA16/AZ16," - ")</f>
        <v>0.80792079207920797</v>
      </c>
      <c r="BE16" s="127">
        <f t="shared" ref="BE16" si="12">IF(ISNUMBER(BB16/BA16),BB16/BA16, " - ")</f>
        <v>3.7279411764705883</v>
      </c>
      <c r="BF16" s="127">
        <f t="shared" ref="BF16" si="13">IF(ISNUMBER(BC16/BA16),BC16/BA16, " - ")</f>
        <v>0.27450980392156865</v>
      </c>
      <c r="BG16" s="196">
        <f t="shared" si="10"/>
        <v>4.7279411764705879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152</v>
      </c>
      <c r="J17" s="183">
        <v>75</v>
      </c>
      <c r="K17" s="183">
        <v>89</v>
      </c>
      <c r="L17" s="183">
        <v>138</v>
      </c>
      <c r="M17" s="183">
        <v>11</v>
      </c>
      <c r="N17" s="183">
        <v>29</v>
      </c>
      <c r="O17" s="183">
        <v>0</v>
      </c>
      <c r="P17" s="183">
        <v>0</v>
      </c>
      <c r="Q17" s="183">
        <v>0</v>
      </c>
      <c r="R17" s="183">
        <v>2</v>
      </c>
      <c r="S17" s="183">
        <v>167</v>
      </c>
      <c r="T17" s="183">
        <v>63</v>
      </c>
      <c r="U17" s="183">
        <v>102</v>
      </c>
      <c r="V17" s="183">
        <v>128</v>
      </c>
      <c r="W17" s="183">
        <v>9</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167</v>
      </c>
      <c r="AZ17" s="129">
        <f t="shared" si="14"/>
        <v>63</v>
      </c>
      <c r="BA17" s="129">
        <f t="shared" si="14"/>
        <v>102</v>
      </c>
      <c r="BB17" s="129">
        <f t="shared" si="14"/>
        <v>128</v>
      </c>
      <c r="BC17" s="125">
        <f>IF(ISNUMBER(W17),W17," - ")</f>
        <v>9</v>
      </c>
      <c r="BD17" s="126">
        <f>IF(ISNUMBER(BA17/AZ17),BA17/AZ17," - ")</f>
        <v>1.6190476190476191</v>
      </c>
      <c r="BE17" s="127">
        <f>IF(ISNUMBER(BB17/BA17),BB17/BA17, " - ")</f>
        <v>1.2549019607843137</v>
      </c>
      <c r="BF17" s="127">
        <f>IF(ISNUMBER(BC17/BA17),BC17/BA17, " - ")</f>
        <v>8.8235294117647065E-2</v>
      </c>
      <c r="BG17" s="196">
        <f>IF(ISNUMBER((AY17+AZ17)/BA17),(AY17+AZ17)/BA17," - ")</f>
        <v>2.2549019607843137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1380</v>
      </c>
      <c r="J18" s="184">
        <f t="shared" si="15"/>
        <v>616</v>
      </c>
      <c r="K18" s="184">
        <f t="shared" si="15"/>
        <v>514</v>
      </c>
      <c r="L18" s="184">
        <f t="shared" si="15"/>
        <v>1491</v>
      </c>
      <c r="M18" s="184">
        <f t="shared" si="15"/>
        <v>116</v>
      </c>
      <c r="N18" s="184">
        <f t="shared" si="15"/>
        <v>222</v>
      </c>
      <c r="O18" s="184">
        <f t="shared" si="15"/>
        <v>2</v>
      </c>
      <c r="P18" s="184">
        <f t="shared" si="15"/>
        <v>21</v>
      </c>
      <c r="Q18" s="184">
        <f t="shared" si="15"/>
        <v>13</v>
      </c>
      <c r="R18" s="184">
        <f t="shared" si="15"/>
        <v>179</v>
      </c>
      <c r="S18" s="184">
        <f t="shared" si="15"/>
        <v>1591</v>
      </c>
      <c r="T18" s="184">
        <f t="shared" si="15"/>
        <v>568</v>
      </c>
      <c r="U18" s="184">
        <f t="shared" si="15"/>
        <v>510</v>
      </c>
      <c r="V18" s="184">
        <f t="shared" si="15"/>
        <v>1649</v>
      </c>
      <c r="W18" s="184">
        <f t="shared" si="15"/>
        <v>121</v>
      </c>
      <c r="X18" s="184">
        <f t="shared" si="15"/>
        <v>216</v>
      </c>
      <c r="Y18" s="184">
        <f t="shared" si="15"/>
        <v>0</v>
      </c>
      <c r="Z18" s="184">
        <f t="shared" si="15"/>
        <v>0</v>
      </c>
      <c r="AA18" s="184">
        <f t="shared" si="15"/>
        <v>0</v>
      </c>
      <c r="AB18" s="184">
        <f t="shared" si="15"/>
        <v>0</v>
      </c>
      <c r="AC18" s="184">
        <f t="shared" si="15"/>
        <v>0</v>
      </c>
      <c r="AD18" s="184">
        <f t="shared" si="15"/>
        <v>3</v>
      </c>
      <c r="AE18" s="184">
        <f t="shared" si="15"/>
        <v>1</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1591</v>
      </c>
      <c r="AZ18" s="184">
        <f>SUBTOTAL(9,AZ14:AZ17)</f>
        <v>568</v>
      </c>
      <c r="BA18" s="184">
        <f>SUBTOTAL(9,BA14:BA17)</f>
        <v>510</v>
      </c>
      <c r="BB18" s="184">
        <f>SUBTOTAL(9,BB14:BB17)</f>
        <v>1649</v>
      </c>
      <c r="BC18" s="184">
        <f>SUBTOTAL(9,BC14:BC17)</f>
        <v>121</v>
      </c>
      <c r="BD18" s="205">
        <f>IF(ISNUMBER(BA18/AZ18),BA18/AZ18," - ")</f>
        <v>0.897887323943662</v>
      </c>
      <c r="BE18" s="206">
        <f>IF(ISNUMBER(BB18/BA18),BB18/BA18, " - ")</f>
        <v>3.2333333333333334</v>
      </c>
      <c r="BF18" s="206">
        <f>IF(ISNUMBER(BC18/BA18),BC18/BA18, " - ")</f>
        <v>0.2372549019607843</v>
      </c>
      <c r="BG18" s="207">
        <f>IF(ISNUMBER((AY18+AZ18)/BA18),(AY18+AZ18)/BA18," - ")</f>
        <v>4.2333333333333334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4452</v>
      </c>
      <c r="J19" s="134">
        <f t="shared" si="18"/>
        <v>1425</v>
      </c>
      <c r="K19" s="134">
        <f t="shared" si="18"/>
        <v>1370</v>
      </c>
      <c r="L19" s="134">
        <f t="shared" si="18"/>
        <v>4516</v>
      </c>
      <c r="M19" s="134">
        <f t="shared" si="18"/>
        <v>362</v>
      </c>
      <c r="N19" s="134">
        <f t="shared" si="18"/>
        <v>493</v>
      </c>
      <c r="O19" s="134">
        <f t="shared" si="18"/>
        <v>419</v>
      </c>
      <c r="P19" s="134">
        <f t="shared" si="18"/>
        <v>335</v>
      </c>
      <c r="Q19" s="134">
        <f t="shared" si="18"/>
        <v>224</v>
      </c>
      <c r="R19" s="134">
        <f t="shared" si="18"/>
        <v>2762</v>
      </c>
      <c r="S19" s="134">
        <f t="shared" si="18"/>
        <v>4566</v>
      </c>
      <c r="T19" s="134">
        <f t="shared" si="18"/>
        <v>1366</v>
      </c>
      <c r="U19" s="134">
        <f t="shared" si="18"/>
        <v>1288</v>
      </c>
      <c r="V19" s="134">
        <f t="shared" si="18"/>
        <v>4644</v>
      </c>
      <c r="W19" s="134">
        <f t="shared" si="18"/>
        <v>364</v>
      </c>
      <c r="X19" s="134">
        <f t="shared" si="18"/>
        <v>573</v>
      </c>
      <c r="Y19" s="134">
        <f t="shared" si="18"/>
        <v>48</v>
      </c>
      <c r="Z19" s="134">
        <f t="shared" si="18"/>
        <v>95</v>
      </c>
      <c r="AA19" s="134">
        <f t="shared" si="18"/>
        <v>59</v>
      </c>
      <c r="AB19" s="134">
        <f t="shared" si="18"/>
        <v>84</v>
      </c>
      <c r="AC19" s="134">
        <f t="shared" si="18"/>
        <v>0</v>
      </c>
      <c r="AD19" s="134">
        <f t="shared" si="18"/>
        <v>3</v>
      </c>
      <c r="AE19" s="134">
        <f t="shared" si="18"/>
        <v>1</v>
      </c>
      <c r="AF19" s="134">
        <f t="shared" si="18"/>
        <v>2</v>
      </c>
      <c r="AG19" s="134">
        <f t="shared" si="18"/>
        <v>113</v>
      </c>
      <c r="AH19" s="134">
        <f t="shared" si="18"/>
        <v>43</v>
      </c>
      <c r="AI19" s="134">
        <f t="shared" si="18"/>
        <v>56</v>
      </c>
      <c r="AJ19" s="134">
        <f t="shared" si="18"/>
        <v>100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4679</v>
      </c>
      <c r="AZ19" s="134">
        <f>SUBTOTAL(9,AZ9:AZ18)</f>
        <v>1409</v>
      </c>
      <c r="BA19" s="134">
        <f>SUBTOTAL(9,BA9:BA18)</f>
        <v>1344</v>
      </c>
      <c r="BB19" s="134">
        <f>SUBTOTAL(9,BB9:BB18)</f>
        <v>4744</v>
      </c>
      <c r="BC19" s="135">
        <f>SUBTOTAL(9,BC9:BC18)</f>
        <v>481</v>
      </c>
      <c r="BD19" s="213">
        <f>IF(ISNUMBER(BA19/AZ19),BA19/AZ19," - ")</f>
        <v>0.95386799148332146</v>
      </c>
      <c r="BE19" s="210">
        <f>IF(ISNUMBER(BB19/BA19),BB19/BA19, " - ")</f>
        <v>3.5297619047619047</v>
      </c>
      <c r="BF19" s="210">
        <f>IF(ISNUMBER(BC19/BA19),BC19/BA19, " - ")</f>
        <v>0.35788690476190477</v>
      </c>
      <c r="BG19" s="135">
        <f>IF(ISNUMBER((AY19+AZ19)/BA19),(AY19+AZ19)/BA19," - ")</f>
        <v>4.5297619047619051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AJW2GFpmyatKNlwaM7VHhajWBBezy2VkXVkjbu/Dy75pfNtKXprFYPJTSVxGdCIkQdOwyiuIwT1EkkcH4mbfA==" saltValue="pbq/Rg5ZI4PxysJphMgF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T62vZtVPrqJRVPjJq9ES4zpTQ9KWibdCWfnEt+TEghv9Vub7QluZvHdlKSrni3NrmkmLMAF+nDWeWUwDFARg==" saltValue="waTio6xbX1bGovNF29U9f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VILAGARCIA DE AROUSA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34</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25.5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95</v>
      </c>
      <c r="O12" s="334"/>
      <c r="P12" s="334"/>
      <c r="Q12" s="226">
        <f>IF(ISNUMBER(Datos!P12),Datos!P12,0)</f>
        <v>312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84</v>
      </c>
      <c r="AI12" s="334" t="str">
        <f>IF(ISNUMBER(Datos!CD12),Datos!CD12,"-")</f>
        <v>-</v>
      </c>
      <c r="AJ12" s="334" t="str">
        <f>IF(ISNUMBER(Datos!EN12),Datos!EN12," - ")</f>
        <v xml:space="preserve"> - </v>
      </c>
      <c r="AK12" s="334"/>
      <c r="AL12" s="479"/>
      <c r="AM12" s="335">
        <f>IF(ISNUMBER(Datos!R12),Datos!R12," - ")</f>
        <v>2578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244</v>
      </c>
      <c r="BD12" s="229">
        <f>IF(ISNUMBER(Datos!N12),Datos!N12," - ")</f>
        <v>268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1.0133481646273637</v>
      </c>
      <c r="BH12" s="260">
        <f>IF(ISNUMBER(((IF(J_V="SI",Datos!L12/Datos!K12,(Datos!L12+Datos!AB12)/(Datos!K12+Datos!AA12)))*11)/factor_trimestre),((IF(J_V="SI",Datos!L12/Datos!K12,(Datos!L12+Datos!AB12)/(Datos!K12+Datos!AA12)))*11)/factor_trimestre," - ")</f>
        <v>10.12623490669594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4.1195476575121161E-2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95</v>
      </c>
      <c r="O13" s="900">
        <f t="shared" si="0"/>
        <v>0</v>
      </c>
      <c r="P13" s="900">
        <f t="shared" si="0"/>
        <v>0</v>
      </c>
      <c r="Q13" s="899">
        <f t="shared" si="0"/>
        <v>314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211</v>
      </c>
      <c r="AD13" s="899">
        <f t="shared" si="1"/>
        <v>0</v>
      </c>
      <c r="AE13" s="899">
        <f t="shared" si="1"/>
        <v>0</v>
      </c>
      <c r="AF13" s="899">
        <f t="shared" si="1"/>
        <v>34</v>
      </c>
      <c r="AG13" s="899">
        <f t="shared" si="1"/>
        <v>0</v>
      </c>
      <c r="AH13" s="899">
        <f t="shared" si="1"/>
        <v>84</v>
      </c>
      <c r="AI13" s="899">
        <f t="shared" si="1"/>
        <v>0</v>
      </c>
      <c r="AJ13" s="899">
        <f t="shared" si="1"/>
        <v>0</v>
      </c>
      <c r="AK13" s="899">
        <f t="shared" si="1"/>
        <v>0</v>
      </c>
      <c r="AL13" s="899">
        <f t="shared" si="1"/>
        <v>0</v>
      </c>
      <c r="AM13" s="899">
        <f t="shared" si="1"/>
        <v>2583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246</v>
      </c>
      <c r="BD13" s="899">
        <f t="shared" si="1"/>
        <v>271</v>
      </c>
      <c r="BE13" s="899">
        <f t="shared" si="1"/>
        <v>0</v>
      </c>
      <c r="BF13" s="899">
        <f t="shared" si="1"/>
        <v>0</v>
      </c>
      <c r="BG13" s="899">
        <f>IF(ISNUMBER(Datos!K13/Datos!J13),Datos!K13/Datos!J13," - ")</f>
        <v>1.0580964153275649</v>
      </c>
      <c r="BH13" s="903">
        <f>IF(ISNUMBER(((Datos!L13/Datos!K13)*11)/factor_trimestre),((Datos!L13/Datos!K13)*11)/factor_trimestre," - ")</f>
        <v>10.601635514018692</v>
      </c>
      <c r="BI13" s="899">
        <f>IF(ISNUMBER('Resol  Asuntos'!D13/NºAsuntos!G13),'Resol  Asuntos'!D13/NºAsuntos!G13," - ")</f>
        <v>0.26885245901639343</v>
      </c>
      <c r="BJ13" s="899" t="str">
        <f>IF(ISNUMBER(Datos!CI13/Datos!CJ13),Datos!CI13/Datos!CJ13," - ")</f>
        <v xml:space="preserve"> - </v>
      </c>
      <c r="BK13" s="899">
        <f>SUBTOTAL(9,BK8:BK12)</f>
        <v>0</v>
      </c>
      <c r="BL13" s="899">
        <f>IF(ISNUMBER((I13-AB13+L13)/(F13)),(I13-AB13+L13)/(F13)," - ")</f>
        <v>-0.12121212121212122</v>
      </c>
      <c r="BM13" s="904">
        <f>SUBTOTAL(9,BM9:BM12)</f>
        <v>0.29119547657512118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1237</v>
      </c>
      <c r="G16" s="598">
        <f>IF(ISNUMBER(IF(D_I="SI",Datos!I16,Datos!I16+Datos!AC16)),IF(D_I="SI",Datos!I16,Datos!I16+Datos!AC16)," - ")</f>
        <v>1228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425</v>
      </c>
      <c r="AC16" s="226">
        <f>IF(ISNUMBER(Datos!Q16),Datos!Q16," - ")</f>
        <v>13</v>
      </c>
      <c r="AD16" s="334"/>
      <c r="AE16" s="484"/>
      <c r="AF16" s="596">
        <f>IF(ISNUMBER(IF(D_I="SI",Datos!L16,Datos!L16+Datos!AF16)),IF(D_I="SI",Datos!L16,Datos!L16+Datos!AF16)," - ")</f>
        <v>1353</v>
      </c>
      <c r="AG16" s="334"/>
      <c r="AH16" s="334"/>
      <c r="AI16" s="334"/>
      <c r="AJ16" s="334"/>
      <c r="AK16" s="334"/>
      <c r="AL16" s="479"/>
      <c r="AM16" s="335">
        <f>IF(ISNUMBER(Datos!R16),Datos!R16," - ")</f>
        <v>177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105</v>
      </c>
      <c r="BD16" s="229">
        <f>IF(ISNUMBER(Datos!N16),Datos!N16," - ")</f>
        <v>193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0.78558225508317925</v>
      </c>
      <c r="BH16" s="260">
        <f>IF(ISNUMBER(((IF(D_I="SI",Datos!L16/Datos!K16,(Datos!L16+Datos!AF16)/(Datos!K16+Datos!AE16)))*11)/factor_trimestre),((IF(D_I="SI",Datos!L16/Datos!K16,(Datos!L16+Datos!AF16)/(Datos!K16+Datos!AE16)))*11)/factor_trimestre," - ")</f>
        <v>9.5505882352941178</v>
      </c>
      <c r="BI16" s="243">
        <f>IF(ISNUMBER('Resol  Asuntos'!D16/NºAsuntos!G16),'Resol  Asuntos'!D16/NºAsuntos!G16," - ")</f>
        <v>0.24705882352941178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89</v>
      </c>
      <c r="AC17" s="226">
        <f>IF(ISNUMBER(Datos!Q17),Datos!Q17," - ")</f>
        <v>0</v>
      </c>
      <c r="AD17" s="334"/>
      <c r="AE17" s="484"/>
      <c r="AF17" s="332">
        <f>IF(ISNUMBER(Datos!L17),Datos!L17,"-")</f>
        <v>138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1.1866666666666668</v>
      </c>
      <c r="BH17" s="260">
        <f>IF(ISNUMBER(((IF(D_I="SI",Datos!L17/Datos!K17,(Datos!L17+Datos!AF17)/(Datos!K17+Datos!AE17)))*11)/factor_trimestre),((IF(D_I="SI",Datos!L17/Datos!K17,(Datos!L17+Datos!AF17)/(Datos!K17+Datos!AE17)))*11)/factor_trimestre," - ")</f>
        <v>4.6516853932584272</v>
      </c>
      <c r="BI17" s="243">
        <f>IF(ISNUMBER('Resol  Asuntos'!D17/NºAsuntos!G17),'Resol  Asuntos'!D17/NºAsuntos!G17," - ")</f>
        <v>0.12359550561797752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1237</v>
      </c>
      <c r="G18" s="898">
        <f>SUBTOTAL(9,G15:G17)</f>
        <v>1380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514</v>
      </c>
      <c r="AC18" s="899">
        <f t="shared" si="4"/>
        <v>13</v>
      </c>
      <c r="AD18" s="899">
        <f t="shared" si="4"/>
        <v>0</v>
      </c>
      <c r="AE18" s="899">
        <f t="shared" si="4"/>
        <v>0</v>
      </c>
      <c r="AF18" s="899">
        <f t="shared" si="4"/>
        <v>1491</v>
      </c>
      <c r="AG18" s="899">
        <f t="shared" si="4"/>
        <v>0</v>
      </c>
      <c r="AH18" s="899">
        <f t="shared" si="4"/>
        <v>0</v>
      </c>
      <c r="AI18" s="899">
        <f t="shared" si="4"/>
        <v>0</v>
      </c>
      <c r="AJ18" s="899">
        <f t="shared" si="4"/>
        <v>0</v>
      </c>
      <c r="AK18" s="899">
        <f t="shared" si="4"/>
        <v>0</v>
      </c>
      <c r="AL18" s="899">
        <f t="shared" si="4"/>
        <v>0</v>
      </c>
      <c r="AM18" s="899">
        <f t="shared" si="4"/>
        <v>179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116</v>
      </c>
      <c r="BD18" s="899">
        <f t="shared" si="4"/>
        <v>222</v>
      </c>
      <c r="BE18" s="899">
        <f t="shared" si="4"/>
        <v>0</v>
      </c>
      <c r="BF18" s="899">
        <f t="shared" si="4"/>
        <v>0</v>
      </c>
      <c r="BG18" s="899">
        <f>IF(ISNUMBER(Datos!K18/Datos!J18),Datos!K18/Datos!J18," - ")</f>
        <v>0.83441558441558439</v>
      </c>
      <c r="BH18" s="903">
        <f>IF(ISNUMBER(((Datos!L18/Datos!K18)*11)/factor_trimestre),((Datos!L18/Datos!K18)*11)/factor_trimestre," - ")</f>
        <v>8.7023346303501938</v>
      </c>
      <c r="BI18" s="899">
        <f>SUBTOTAL(9,BI15:BI17)</f>
        <v>0.37065432914738927</v>
      </c>
      <c r="BJ18" s="899">
        <f>SUBTOTAL(9,BJ15:BJ17)</f>
        <v>0</v>
      </c>
      <c r="BK18" s="899">
        <f>SUBTOTAL(9,BK15:BK17)</f>
        <v>0</v>
      </c>
      <c r="BL18" s="899">
        <f>IF(ISNUMBER((I18-AB18+L18)/(F18)),(I18-AB18+L18)/(F18)," - ")</f>
        <v>-0.41552142279708976</v>
      </c>
      <c r="BM18" s="905">
        <f>IF(ISNUMBER((Datos!P18-Datos!Q18)/(Datos!R18-Datos!P18+Datos!Q18)),(Datos!P18-Datos!Q18)/(Datos!R18-Datos!P18+Datos!Q18)," - ")</f>
        <v>4.6783625730994149E-2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1270</v>
      </c>
      <c r="G19" s="820">
        <f t="shared" si="6"/>
        <v>1413</v>
      </c>
      <c r="H19" s="822">
        <f t="shared" si="6"/>
        <v>0</v>
      </c>
      <c r="I19" s="820">
        <f t="shared" si="6"/>
        <v>0</v>
      </c>
      <c r="J19" s="822">
        <f t="shared" si="6"/>
        <v>0</v>
      </c>
      <c r="K19" s="822">
        <f t="shared" si="6"/>
        <v>0</v>
      </c>
      <c r="L19" s="881">
        <f t="shared" si="6"/>
        <v>0</v>
      </c>
      <c r="M19" s="881">
        <f t="shared" si="6"/>
        <v>0</v>
      </c>
      <c r="N19" s="881">
        <f t="shared" si="6"/>
        <v>95</v>
      </c>
      <c r="O19" s="881">
        <f t="shared" si="6"/>
        <v>0</v>
      </c>
      <c r="P19" s="881">
        <f t="shared" si="6"/>
        <v>0</v>
      </c>
      <c r="Q19" s="822">
        <f t="shared" si="6"/>
        <v>335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518</v>
      </c>
      <c r="AC19" s="821">
        <f t="shared" si="7"/>
        <v>224</v>
      </c>
      <c r="AD19" s="821">
        <f t="shared" si="7"/>
        <v>0</v>
      </c>
      <c r="AE19" s="821">
        <f t="shared" si="7"/>
        <v>0</v>
      </c>
      <c r="AF19" s="828">
        <f t="shared" si="7"/>
        <v>1525</v>
      </c>
      <c r="AG19" s="828">
        <f t="shared" si="7"/>
        <v>0</v>
      </c>
      <c r="AH19" s="828">
        <f t="shared" si="7"/>
        <v>84</v>
      </c>
      <c r="AI19" s="828">
        <f t="shared" si="7"/>
        <v>0</v>
      </c>
      <c r="AJ19" s="821">
        <f t="shared" si="7"/>
        <v>0</v>
      </c>
      <c r="AK19" s="828">
        <f t="shared" si="7"/>
        <v>0</v>
      </c>
      <c r="AL19" s="828">
        <f t="shared" si="7"/>
        <v>0</v>
      </c>
      <c r="AM19" s="828">
        <f t="shared" si="7"/>
        <v>2762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362</v>
      </c>
      <c r="BD19" s="820">
        <f t="shared" si="7"/>
        <v>493</v>
      </c>
      <c r="BE19" s="820">
        <f t="shared" si="7"/>
        <v>0</v>
      </c>
      <c r="BF19" s="830">
        <f t="shared" si="7"/>
        <v>0</v>
      </c>
      <c r="BG19" s="915">
        <f>IF(ISNUMBER(Datos!K19/Datos!J19),Datos!K19/Datos!J19," - ")</f>
        <v>0.96140350877192982</v>
      </c>
      <c r="BH19" s="915">
        <f>IF(ISNUMBER(((Datos!L19/Datos!K19)*11)/factor_trimestre),((Datos!L19/Datos!K19)*11)/factor_trimestre," - ")</f>
        <v>9.8890510948905099</v>
      </c>
      <c r="BI19" s="813">
        <f>IF(ISNUMBER(Datos!J19/Datos!I19),Datos!J19/Datos!I19," - ")</f>
        <v>0.32008086253369272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-0.4078740157480315</v>
      </c>
      <c r="BM19" s="889">
        <f>IF(ISNUMBER((Datos!P19-Datos!Q19+R19)/(Datos!R19-Datos!P19+Datos!Q19-R19)),(Datos!P19-Datos!Q19+R19)/(Datos!R19-Datos!P19+Datos!Q19-R19)," - ")</f>
        <v>4.1870992078460956E-2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565.20000000000005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695.12972410430939</v>
      </c>
      <c r="G21" s="552">
        <f>IF(ISNUMBER(STDEV(G8:G18)),STDEV(G8:G18),"-")</f>
        <v>678.30870553163334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243.98504052502889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107.04703016275914</v>
      </c>
      <c r="BD21" s="551"/>
      <c r="BE21" s="551">
        <f>IF(ISNUMBER(STDEV(BE8:BE18)),STDEV(BE8:BE18),"-")</f>
        <v>0</v>
      </c>
      <c r="BF21" s="556">
        <f>IF(ISNUMBER(STDEV(BF8:BF18)),STDEV(BF8:BF18),"-")</f>
        <v>0</v>
      </c>
      <c r="BG21" s="775">
        <f>IF(ISNUMBER(STDEV(BG8:BG18)),STDEV(BG8:BG18),"-")</f>
        <v>0.16402561956223727</v>
      </c>
      <c r="BH21" s="776">
        <f>IF(ISNUMBER(STDEV(BH8:BH18)),STDEV(BH8:BH18),"-")</f>
        <v>7.1724182098227125</v>
      </c>
      <c r="BI21" s="249">
        <f>IF(ISNUMBER(STDEV(BI8:BI18)),STDEV(BI8:BI18),"-")</f>
        <v>0.10144590840397719</v>
      </c>
      <c r="BJ21" s="230" t="str">
        <f>IF(ISNUMBER(BL21/BM21),BL21/BM21," - ")</f>
        <v xml:space="preserve"> - </v>
      </c>
      <c r="BK21" s="575"/>
      <c r="BL21" s="559">
        <f>IF(ISNUMBER(STDEV(BL8:BL18)),STDEV(BL8:BL18),"-")</f>
        <v>0.20810810291700804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oqWMrsCGM0rzNDSUPnS1sCtjVeMM4eFUfs1KJoy5pSQWsdQH76orhalGGVVJjY7Jv321e4L/24SQ79pU6WzMaw==" saltValue="K0IF/EPeS+X+RPIdqeL8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VILAGARCIA DE AROUSA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34</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210</v>
      </c>
      <c r="AA12" s="332" t="str">
        <f>IF(ISNUMBER(IF(J_V="SI",Datos!L12,Datos!L12+Datos!AB12)-IF(Monitorios="SI",Datos!CD12,0)),
                          IF(J_V="SI",Datos!L12,Datos!L12+Datos!AB12)-IF(Monitorios="SI",Datos!CD12,0),
                          " - ")</f>
        <v xml:space="preserve"> - </v>
      </c>
      <c r="AB12" s="334"/>
      <c r="AC12" s="334"/>
      <c r="AD12" s="484"/>
      <c r="AE12" s="484">
        <f>IF(ISNUMBER(Datos!R12),Datos!R12," - ")</f>
        <v>2578</v>
      </c>
      <c r="AF12" s="229" t="str">
        <f>IF(ISNUMBER(Datos!BV12),Datos!BV12," - ")</f>
        <v xml:space="preserve"> - </v>
      </c>
      <c r="AG12" s="225" t="str">
        <f>IF(ISNUMBER(Datos!DV12),Datos!DV12," - ")</f>
        <v xml:space="preserve"> - </v>
      </c>
      <c r="AH12" s="298"/>
      <c r="AI12" s="227"/>
      <c r="AJ12" s="225">
        <f>IF(ISNUMBER(Datos!M12),Datos!M12," - ")</f>
        <v>244</v>
      </c>
      <c r="AK12" s="229">
        <f>IF(ISNUMBER(Datos!N12),Datos!N12," - ")</f>
        <v>268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10.12623490669594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4.1195476575121161E-2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314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211</v>
      </c>
      <c r="AA13" s="900">
        <f t="shared" si="2"/>
        <v>34</v>
      </c>
      <c r="AB13" s="900">
        <f t="shared" si="2"/>
        <v>0</v>
      </c>
      <c r="AC13" s="900">
        <f t="shared" si="2"/>
        <v>0</v>
      </c>
      <c r="AD13" s="900">
        <f t="shared" si="2"/>
        <v>0</v>
      </c>
      <c r="AE13" s="900">
        <f t="shared" si="2"/>
        <v>2583</v>
      </c>
      <c r="AF13" s="908">
        <f t="shared" si="2"/>
        <v>0</v>
      </c>
      <c r="AG13" s="908">
        <f t="shared" si="2"/>
        <v>0</v>
      </c>
      <c r="AH13" s="908">
        <f t="shared" si="2"/>
        <v>0</v>
      </c>
      <c r="AI13" s="908">
        <f t="shared" si="2"/>
        <v>0</v>
      </c>
      <c r="AJ13" s="908">
        <f t="shared" si="2"/>
        <v>246</v>
      </c>
      <c r="AK13" s="908">
        <f t="shared" si="2"/>
        <v>271</v>
      </c>
      <c r="AL13" s="908">
        <f t="shared" si="2"/>
        <v>0</v>
      </c>
      <c r="AM13" s="908">
        <f t="shared" si="2"/>
        <v>0</v>
      </c>
      <c r="AN13" s="908">
        <f t="shared" si="2"/>
        <v>0</v>
      </c>
      <c r="AO13" s="904">
        <f>IF(ISNUMBER(((NºAsuntos!I13/NºAsuntos!G13)*11)/factor_trimestre),((NºAsuntos!I13/NºAsuntos!G13)*11)/factor_trimestre," - ")</f>
        <v>10.193442622950821</v>
      </c>
      <c r="AP13" s="910" t="str">
        <f>IF(ISNUMBER(Datos!CI13/Datos!CJ13),Datos!CI13/Datos!CJ13," - ")</f>
        <v xml:space="preserve"> - </v>
      </c>
      <c r="AQ13" s="928">
        <f t="shared" ref="AQ13:AV13" si="3">SUBTOTAL(9,AQ9:AQ12)</f>
        <v>0</v>
      </c>
      <c r="AR13" s="928">
        <f t="shared" si="3"/>
        <v>0.29119547657512118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1237</v>
      </c>
      <c r="G16" s="225">
        <f>IF(ISNUMBER(IF(D_I="SI",Datos!I16,Datos!I16+Datos!AC16)),IF(D_I="SI",Datos!I16,Datos!I16+Datos!AC16)," - ")</f>
        <v>1228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425</v>
      </c>
      <c r="Z16" s="619">
        <f>IF(ISNUMBER(Datos!Q16),Datos!Q16," - ")</f>
        <v>13</v>
      </c>
      <c r="AA16" s="332">
        <f>IF(ISNUMBER(IF(D_I="SI",Datos!L16,Datos!L16+Datos!AF16)),IF(D_I="SI",Datos!L16,Datos!L16+Datos!AF16)," - ")</f>
        <v>1353</v>
      </c>
      <c r="AB16" s="334"/>
      <c r="AC16" s="334"/>
      <c r="AD16" s="484"/>
      <c r="AE16" s="484">
        <f>IF(ISNUMBER(Datos!R16),Datos!R16," - ")</f>
        <v>177</v>
      </c>
      <c r="AF16" s="229" t="str">
        <f>IF(ISNUMBER(Datos!BV16),Datos!BV16," - ")</f>
        <v xml:space="preserve"> - </v>
      </c>
      <c r="AG16" s="225"/>
      <c r="AH16" s="298"/>
      <c r="AI16" s="227"/>
      <c r="AJ16" s="225">
        <f>IF(ISNUMBER(Datos!M16),Datos!M16," - ")</f>
        <v>105</v>
      </c>
      <c r="AK16" s="229">
        <f>IF(ISNUMBER(Datos!N16),Datos!N16," - ")</f>
        <v>193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9.5505882352941178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89</v>
      </c>
      <c r="Z17" s="619">
        <f>IF(ISNUMBER(Datos!Q17),Datos!Q17," - ")</f>
        <v>0</v>
      </c>
      <c r="AA17" s="332">
        <f>IF(ISNUMBER(Datos!L17),Datos!L17,"-")</f>
        <v>138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11</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4.6516853932584272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1237</v>
      </c>
      <c r="G18" s="898">
        <f>SUBTOTAL(9,G15:G17)</f>
        <v>1380</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514</v>
      </c>
      <c r="Z18" s="932">
        <f t="shared" si="5"/>
        <v>13</v>
      </c>
      <c r="AA18" s="932">
        <f t="shared" si="5"/>
        <v>1491</v>
      </c>
      <c r="AB18" s="932">
        <f t="shared" si="5"/>
        <v>0</v>
      </c>
      <c r="AC18" s="932">
        <f t="shared" si="5"/>
        <v>0</v>
      </c>
      <c r="AD18" s="932">
        <f t="shared" si="5"/>
        <v>0</v>
      </c>
      <c r="AE18" s="932">
        <f t="shared" si="5"/>
        <v>179</v>
      </c>
      <c r="AF18" s="932">
        <f t="shared" si="5"/>
        <v>0</v>
      </c>
      <c r="AG18" s="932">
        <f t="shared" si="5"/>
        <v>0</v>
      </c>
      <c r="AH18" s="932">
        <f t="shared" si="5"/>
        <v>0</v>
      </c>
      <c r="AI18" s="932">
        <f t="shared" si="5"/>
        <v>0</v>
      </c>
      <c r="AJ18" s="932">
        <f t="shared" si="5"/>
        <v>116</v>
      </c>
      <c r="AK18" s="932">
        <f t="shared" si="5"/>
        <v>222</v>
      </c>
      <c r="AL18" s="932">
        <f t="shared" si="5"/>
        <v>0</v>
      </c>
      <c r="AM18" s="932">
        <f t="shared" si="5"/>
        <v>0</v>
      </c>
      <c r="AN18" s="932">
        <f t="shared" si="5"/>
        <v>0</v>
      </c>
      <c r="AO18" s="934">
        <f>IF(ISNUMBER(((NºAsuntos!I18/NºAsuntos!G18)*11)/factor_trimestre),((NºAsuntos!I18/NºAsuntos!G18)*11)/factor_trimestre," - ")</f>
        <v>8.7023346303501938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1270</v>
      </c>
      <c r="G19" s="820">
        <f t="shared" si="7"/>
        <v>1413</v>
      </c>
      <c r="H19" s="821">
        <f t="shared" si="7"/>
        <v>0</v>
      </c>
      <c r="I19" s="820">
        <f t="shared" si="7"/>
        <v>0</v>
      </c>
      <c r="J19" s="822">
        <f t="shared" si="7"/>
        <v>0</v>
      </c>
      <c r="K19" s="820">
        <f t="shared" si="7"/>
        <v>0</v>
      </c>
      <c r="L19" s="823">
        <f t="shared" si="7"/>
        <v>0</v>
      </c>
      <c r="M19" s="820">
        <f t="shared" si="7"/>
        <v>0</v>
      </c>
      <c r="N19" s="821">
        <f t="shared" si="7"/>
        <v>335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518</v>
      </c>
      <c r="Z19" s="827">
        <f t="shared" si="8"/>
        <v>224</v>
      </c>
      <c r="AA19" s="828">
        <f t="shared" si="8"/>
        <v>1525</v>
      </c>
      <c r="AB19" s="828">
        <f t="shared" si="8"/>
        <v>0</v>
      </c>
      <c r="AC19" s="828">
        <f t="shared" si="8"/>
        <v>0</v>
      </c>
      <c r="AD19" s="829">
        <f t="shared" si="8"/>
        <v>0</v>
      </c>
      <c r="AE19" s="829">
        <f t="shared" si="8"/>
        <v>2762</v>
      </c>
      <c r="AF19" s="830">
        <f t="shared" si="8"/>
        <v>0</v>
      </c>
      <c r="AG19" s="831">
        <f t="shared" si="8"/>
        <v>0</v>
      </c>
      <c r="AH19" s="832">
        <f t="shared" si="8"/>
        <v>0</v>
      </c>
      <c r="AI19" s="830">
        <f t="shared" si="8"/>
        <v>0</v>
      </c>
      <c r="AJ19" s="820">
        <f t="shared" si="8"/>
        <v>362</v>
      </c>
      <c r="AK19" s="820">
        <f t="shared" si="8"/>
        <v>493</v>
      </c>
      <c r="AL19" s="820">
        <f t="shared" si="8"/>
        <v>0</v>
      </c>
      <c r="AM19" s="833">
        <f t="shared" si="8"/>
        <v>0</v>
      </c>
      <c r="AN19" s="823">
        <f>IF(ISNUMBER(Datos!K19/Datos!J19),Datos!K19/Datos!J19," - ")</f>
        <v>0.96140350877192982</v>
      </c>
      <c r="AO19" s="823">
        <f>IF(ISNUMBER(FIND("06",Criterios!A8,1)),(IF(ISNUMBER(((Datos!R19/Datos!Q19)*11)/factor_trimestre),((Datos!R19/Datos!Q19)*11)/factor_trimestre," - ")),(IF(ISNUMBER(((Datos!L19/Datos!K19)*11)/factor_trimestre),((Datos!L19/Datos!K19)*11)/factor_trimestre," - ")))</f>
        <v>9.8890510948905099</v>
      </c>
      <c r="AP19" s="834" t="str">
        <f>IF(ISNUMBER(Datos!CI19/Datos!CJ19),Datos!CI19/Datos!CJ19," - ")</f>
        <v xml:space="preserve"> - </v>
      </c>
      <c r="AQ19" s="834">
        <f>IF(OR(ISNUMBER(FIND("01",Criterios!A8,1)),ISNUMBER(FIND("02",Criterios!A8,1)),ISNUMBER(FIND("03",Criterios!A8,1)),ISNUMBER(FIND("04",Criterios!A8,1))),(J19-Y19+K19)/(F19-K19),(I19-Y19+K19)/(F19-K19))</f>
        <v>-0.4078740157480315</v>
      </c>
      <c r="AR19" s="834">
        <f>IF(ISNUMBER((Datos!P19-Datos!Q19+O19)/(Datos!R19-Datos!P19+Datos!Q19-O19)),(Datos!P19-Datos!Q19+O19)/(Datos!R19-Datos!P19+Datos!Q19-O19)," - ")</f>
        <v>4.1870992078460956E-2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565.20000000000005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695.12972410430939</v>
      </c>
      <c r="G21" s="552">
        <f>IF(ISNUMBER(STDEV(G8:G18)),STDEV(G8:G18),"-")</f>
        <v>678.30870553163334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107.04703016275914</v>
      </c>
      <c r="AK21" s="252"/>
      <c r="AL21" s="252">
        <f>IF(ISNUMBER(STDEV(AL8:AL18)),STDEV(AL8:AL18),"-")</f>
        <v>0</v>
      </c>
      <c r="AM21" s="254">
        <f>IF(ISNUMBER(STDEV(AM8:AM18)),STDEV(AM8:AM18),"-")</f>
        <v>0</v>
      </c>
      <c r="AN21" s="539">
        <f>IF(ISNUMBER(STDEV(AN8:AN18)),STDEV(AN8:AN18),"-")</f>
        <v>0</v>
      </c>
      <c r="AO21" s="540">
        <f>IF(ISNUMBER(STDEV(AO8:AO18)),STDEV(AO8:AO18),"-")</f>
        <v>7.1848201604752466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NVtyqSTH8yEoAA6WCQeaL6lRTFi3aK0aWG9lMASTop6BqxRNaiYp1NObDUEJQk6FKea0XsdidaCCpqH0QII/kw==" saltValue="5La0CZ/0ZMUYdB4Vcd/3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ayqUQLA/lr32e60VpFF4AI9oZrIBgu7WSjO7R66J3q2gTBPSyOdrpGuyQ7cDu24+SPZokm9Wu4lWmMC6QhNJg==" saltValue="lo6MrBP3lCqH2xuJ9N3f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tu2JQ6jvq2usZYXwH+Zn47MJn1bWugxtTxMoUYpCP3807kgNzuYgk2/bDgD0ssDDq6Uz1i9WP73lAm0MTPnA==" saltValue="n25az4LMBymYIC6ISmWx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VILAGARCIA DE AROUSA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0.26885245901639343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0.19010739690917014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gqrI1DlJ8i4zVqXGckWXV/+dhKfhaSBwzzzL+WtPbOb2uJC0//GJjlZwD/SmVYj1sNZ/k+MdgeaA0mslPk9d3Q==" saltValue="Q8+5leYc2b8kiaXeVaDt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Y4pZNMxbz/knGfX9wKkMwQfJgf4RdVY6H/7J5AghffYeWkGJnkxR27P4MTv0e6rr1bjk4R3FmPG5SeTCwERkQ==" saltValue="S4HxJ/bNGY1/zIF6gFfD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VILAGARCIA DE AROUSA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v>
      </c>
      <c r="D10" s="404">
        <f>IF(ISNUMBER(C10/Datos!BH10),C10/Datos!BH10," - ")</f>
        <v>33</v>
      </c>
      <c r="E10" s="403">
        <f>IF(ISNUMBER(Datos!J10),Datos!J10," - ")</f>
        <v>5</v>
      </c>
      <c r="F10" s="404">
        <f>IF(ISNUMBER(E10/B10),E10/B10," - ")</f>
        <v>5</v>
      </c>
      <c r="G10" s="403">
        <f>IF(ISNUMBER(Datos!K10),Datos!K10," - ")</f>
        <v>4</v>
      </c>
      <c r="H10" s="404">
        <f>IF(ISNUMBER(G10/B10),G10/B10," - ")</f>
        <v>4</v>
      </c>
      <c r="I10" s="403">
        <f>IF(ISNUMBER(Datos!L10),Datos!L10," - ")</f>
        <v>34</v>
      </c>
      <c r="J10" s="404">
        <f>IF(ISNUMBER(I10/B10),I10/B10," - ")</f>
        <v>34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3087</v>
      </c>
      <c r="D12" s="404">
        <f>IF(ISNUMBER(C12/Datos!BH12),C12/Datos!BH12," - ")</f>
        <v>1029</v>
      </c>
      <c r="E12" s="403">
        <f>IF(ISNUMBER(IF(J_V="SI",Datos!J12,Datos!J12+Datos!Z12)),IF(J_V="SI",Datos!J12,Datos!J12+Datos!Z12)," - ")</f>
        <v>899</v>
      </c>
      <c r="F12" s="404">
        <f>IF(ISNUMBER(E12/B12),E12/B12," - ")</f>
        <v>299.66666666666669</v>
      </c>
      <c r="G12" s="403">
        <f>IF(ISNUMBER(IF(J_V="SI",Datos!K12,Datos!K12+Datos!AA12)),IF(J_V="SI",Datos!K12,Datos!K12+Datos!AA12)," - ")</f>
        <v>911</v>
      </c>
      <c r="H12" s="404">
        <f>IF(ISNUMBER(G12/B12),G12/B12," - ")</f>
        <v>303.66666666666669</v>
      </c>
      <c r="I12" s="403">
        <f>IF(ISNUMBER(IF(J_V="SI",Datos!L12,Datos!L12+Datos!AB12)),IF(J_V="SI",Datos!L12,Datos!L12+Datos!AB12)," - ")</f>
        <v>3075</v>
      </c>
      <c r="J12" s="404">
        <f>IF(ISNUMBER(I12/B12),I12/B12," - ")</f>
        <v>1025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3120</v>
      </c>
      <c r="D13" s="850" t="str">
        <f>IF(ISNUMBER(C13/Datos!BI13),C13/Datos!BI13," - ")</f>
        <v xml:space="preserve"> - </v>
      </c>
      <c r="E13" s="849">
        <f>SUBTOTAL(9,E8:E12)</f>
        <v>904</v>
      </c>
      <c r="F13" s="850">
        <f>IF(ISNUMBER(E13/B13),E13/B13," - ")</f>
        <v>301.33333333333331</v>
      </c>
      <c r="G13" s="849">
        <f>SUBTOTAL(9,G8:G12)</f>
        <v>915</v>
      </c>
      <c r="H13" s="850">
        <f>IF(ISNUMBER(G13/B13),G13/B13," - ")</f>
        <v>305</v>
      </c>
      <c r="I13" s="849">
        <f>SUBTOTAL(9,I8:I12)</f>
        <v>3109</v>
      </c>
      <c r="J13" s="850">
        <f>IF(ISNUMBER(I13/B13),I13/B13," - ")</f>
        <v>1036.3333333333333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1228</v>
      </c>
      <c r="D16" s="404">
        <f>IF(ISNUMBER(C16/Datos!BH16),C16/Datos!BH16," - ")</f>
        <v>409.33333333333331</v>
      </c>
      <c r="E16" s="403">
        <f>IF(ISNUMBER(IF(D_I="SI",Datos!J16,Datos!J16+Datos!AD16)),IF(D_I="SI",Datos!J16,Datos!J16+Datos!AD16)," - ")</f>
        <v>541</v>
      </c>
      <c r="F16" s="404">
        <f>IF(ISNUMBER(E16/B16),E16/B16," - ")</f>
        <v>180.33333333333334</v>
      </c>
      <c r="G16" s="403">
        <f>IF(ISNUMBER(IF(D_I="SI",Datos!K16,Datos!K16+Datos!AE16)),IF(D_I="SI",Datos!K16,Datos!K16+Datos!AE16)," - ")</f>
        <v>425</v>
      </c>
      <c r="H16" s="404">
        <f>IF(ISNUMBER(G16/B16),G16/B16," - ")</f>
        <v>141.66666666666666</v>
      </c>
      <c r="I16" s="403">
        <f>IF(ISNUMBER(IF(D_I="SI",Datos!L16,Datos!L16+Datos!AF16)),IF(D_I="SI",Datos!L16,Datos!L16+Datos!AF16)," - ")</f>
        <v>1353</v>
      </c>
      <c r="J16" s="404">
        <f>IF(ISNUMBER(I16/B16),I16/B16," - ")</f>
        <v>451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152</v>
      </c>
      <c r="D17" s="404">
        <f>IF(ISNUMBER(C17/Datos!BH17),C17/Datos!BH17," - ")</f>
        <v>152</v>
      </c>
      <c r="E17" s="403">
        <f>IF(ISNUMBER(IF(D_I="SI",Datos!J17,Datos!J17+Datos!AD17)),IF(D_I="SI",Datos!J17,Datos!J17+Datos!AD17)," - ")</f>
        <v>75</v>
      </c>
      <c r="F17" s="404">
        <f>IF(ISNUMBER(E17/B17),E17/B17," - ")</f>
        <v>75</v>
      </c>
      <c r="G17" s="403">
        <f>IF(ISNUMBER(IF(D_I="SI",Datos!K17,Datos!K17+Datos!AE17)),IF(D_I="SI",Datos!K17,Datos!K17+Datos!AE17)," - ")</f>
        <v>89</v>
      </c>
      <c r="H17" s="404">
        <f>IF(ISNUMBER(G17/B17),G17/B17," - ")</f>
        <v>89</v>
      </c>
      <c r="I17" s="403">
        <f>IF(ISNUMBER(IF(D_I="SI",Datos!L17,Datos!L17+Datos!AF17)),IF(D_I="SI",Datos!L17,Datos!L17+Datos!AF17)," - ")</f>
        <v>138</v>
      </c>
      <c r="J17" s="404">
        <f>IF(ISNUMBER(I17/B17),I17/B17," - ")</f>
        <v>138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1380</v>
      </c>
      <c r="D18" s="850" t="str">
        <f>IF(ISNUMBER(C18/Datos!BI18),C18/Datos!BI18," - ")</f>
        <v xml:space="preserve"> - </v>
      </c>
      <c r="E18" s="849">
        <f>SUBTOTAL(9,E14:E17)</f>
        <v>616</v>
      </c>
      <c r="F18" s="850">
        <f>IF(ISNUMBER(E18/B18),E18/B18," - ")</f>
        <v>205.33333333333334</v>
      </c>
      <c r="G18" s="849">
        <f>SUBTOTAL(9,G14:G17)</f>
        <v>514</v>
      </c>
      <c r="H18" s="850">
        <f>IF(ISNUMBER(G18/B18),G18/B18," - ")</f>
        <v>171.33333333333334</v>
      </c>
      <c r="I18" s="849">
        <f>SUBTOTAL(9,I14:I17)</f>
        <v>1491</v>
      </c>
      <c r="J18" s="850">
        <f>IF(ISNUMBER(I18/B18),I18/B18," - ")</f>
        <v>497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4500</v>
      </c>
      <c r="D19" s="795" t="str">
        <f>IF(ISNUMBER(C19/Datos!BI19),C19/Datos!BI19," - ")</f>
        <v xml:space="preserve"> - </v>
      </c>
      <c r="E19" s="794">
        <f>SUBTOTAL(9,E9:E18)</f>
        <v>1520</v>
      </c>
      <c r="F19" s="795">
        <f>IF(ISNUMBER(E19/B19),E19/B19," - ")</f>
        <v>506.66666666666669</v>
      </c>
      <c r="G19" s="794">
        <f>SUBTOTAL(9,G9:G18)</f>
        <v>1429</v>
      </c>
      <c r="H19" s="795">
        <f>IF(ISNUMBER(G19/B19),G19/B19," - ")</f>
        <v>476.33333333333331</v>
      </c>
      <c r="I19" s="794">
        <f>SUBTOTAL(9,I9:I18)</f>
        <v>4600</v>
      </c>
      <c r="J19" s="795">
        <f>IF(ISNUMBER(I19/B19),I19/B19," - ")</f>
        <v>1533.3333333333333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rBcB08HPaAzoQ3//HXng8ZeipKCd6a0rMT7YrbVDnpHTW4FPx4s8w5oHdfqMXS5a4QuRx7q/Pf5S8vO4D6UgJQ==" saltValue="ttKe1lmp2yIfdXgI/gLN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VILAGARCIA DE AROUSA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244</v>
      </c>
      <c r="AM12" s="690">
        <f>IF(ISNUMBER(Datos!N12+DatosP!N16),Datos!N12+DatosP!N16," - ")</f>
        <v>268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10.12623490669594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4.1195476575121161E-2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314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210</v>
      </c>
      <c r="AE13" s="939">
        <f t="shared" si="1"/>
        <v>0</v>
      </c>
      <c r="AF13" s="939">
        <f t="shared" si="1"/>
        <v>34</v>
      </c>
      <c r="AG13" s="939">
        <f t="shared" si="1"/>
        <v>0</v>
      </c>
      <c r="AH13" s="939">
        <f t="shared" si="1"/>
        <v>2578</v>
      </c>
      <c r="AI13" s="939">
        <f t="shared" si="1"/>
        <v>0</v>
      </c>
      <c r="AJ13" s="939">
        <f t="shared" si="1"/>
        <v>0</v>
      </c>
      <c r="AK13" s="939">
        <f t="shared" si="1"/>
        <v>0</v>
      </c>
      <c r="AL13" s="939">
        <f t="shared" si="1"/>
        <v>246</v>
      </c>
      <c r="AM13" s="939">
        <f t="shared" si="1"/>
        <v>271</v>
      </c>
      <c r="AN13" s="939">
        <f t="shared" si="1"/>
        <v>0</v>
      </c>
      <c r="AO13" s="939">
        <f t="shared" si="1"/>
        <v>0</v>
      </c>
      <c r="AP13" s="944">
        <f>IF(ISNUMBER(((Datos!L13/Datos!K13)*11)/factor_trimestre),((Datos!L13/Datos!K13)*11)/factor_trimestre," - ")</f>
        <v>10.601635514018692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-0.12121212121212122</v>
      </c>
      <c r="AU13" s="939" t="str">
        <f>IF(ISNUMBER((DatosP!#REF!-DatosP!#REF!+DatosP!#REF!)/(DatosP!#REF!+DatosP!#REF!-DatosP!#REF!-DatosP!#REF!)),(DatosP!#REF!-DatosP!#REF!+DatosP!#REF!)/(DatosP!#REF!+DatosP!#REF!-DatosP!#REF!-DatosP!#REF!)," - ")</f>
        <v xml:space="preserve"> - </v>
      </c>
      <c r="AV13" s="945">
        <f>SUBTOTAL(9,AV9:AV12)</f>
        <v>4.1195476575121161E-2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8.7023346303501938</v>
      </c>
      <c r="AQ18" s="944">
        <f>IF(ISNUMBER(((Datos!M18/Datos!L18)*11)/factor_trimestre),((Datos!M18/Datos!L18)*11)/factor_trimestre," - ")</f>
        <v>0.23340040241448692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4.6783625730994149E-2</v>
      </c>
      <c r="AW18" s="946">
        <f>IF(ISNUMBER((Datos!Q18-Datos!R18)/(Datos!S18-Datos!Q18+Datos!R18)),(Datos!Q18-Datos!R18)/(Datos!S18-Datos!Q18+Datos!R18)," - ")</f>
        <v>-9.447922595332954E-2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314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210</v>
      </c>
      <c r="AE19" s="957">
        <f t="shared" si="5"/>
        <v>0</v>
      </c>
      <c r="AF19" s="958">
        <f t="shared" si="5"/>
        <v>34</v>
      </c>
      <c r="AG19" s="958">
        <f t="shared" si="5"/>
        <v>0</v>
      </c>
      <c r="AH19" s="958">
        <f t="shared" si="5"/>
        <v>2578</v>
      </c>
      <c r="AI19" s="958">
        <f t="shared" si="5"/>
        <v>0</v>
      </c>
      <c r="AJ19" s="959">
        <f t="shared" si="5"/>
        <v>0</v>
      </c>
      <c r="AK19" s="959">
        <f t="shared" si="5"/>
        <v>0</v>
      </c>
      <c r="AL19" s="951">
        <f t="shared" si="5"/>
        <v>246</v>
      </c>
      <c r="AM19" s="951">
        <f t="shared" si="5"/>
        <v>271</v>
      </c>
      <c r="AN19" s="951">
        <f t="shared" si="5"/>
        <v>0</v>
      </c>
      <c r="AO19" s="951">
        <f t="shared" si="5"/>
        <v>0</v>
      </c>
      <c r="AP19" s="951">
        <f>IF(ISNUMBER(((Datos!L19/Datos!K19)*11)/factor_trimestre),((Datos!L19/Datos!K19)*11)/factor_trimestre," - ")</f>
        <v>9.8890510948905099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-0.12121212121212122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4.1870992078460956E-2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140.87819798203932</v>
      </c>
      <c r="AM21" s="736"/>
      <c r="AN21" s="736">
        <f>IF(ISNUMBER(STDEV(AN8:AN18)),STDEV(AN8:AN18),"-")</f>
        <v>0</v>
      </c>
      <c r="AO21" s="742">
        <f>IF(ISNUMBER(STDEV(AO8:AO18)),STDEV(AO8:AO18),"-")</f>
        <v>0</v>
      </c>
      <c r="AP21" s="779">
        <f>IF(ISNUMBER(STDEV(AP8:AP18)),STDEV(AP8:AP18),"-")</f>
        <v>7.8863612276358657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JX3/xwTcpIUbTqlaMqoAkFa3+f5kqUEZn+MitYdPdV1balVAW4YaQ62NAHFS5Y9UBAq29TezCc0biPDp4wjDHQ==" saltValue="I8e1f2AvHMMpYxBtNM2E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VILAGARCIA DE AROUSA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XskWXNLFbdDQ6MG/Sri89ShmCH4wo/ER4n+7bDAiVP6eY9rFztKHSQdQdTSmrtJitRnvT4dUV97ocV+O5jmY6A==" saltValue="jmsWlDFmoJPOycO2t0BE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VILAGARCIA DE AROUSA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244</v>
      </c>
      <c r="E12" s="404">
        <f t="shared" si="0"/>
        <v>81.333333333333329</v>
      </c>
      <c r="F12" s="403">
        <f>IF(ISNUMBER(Datos!N12),Datos!N12," - ")</f>
        <v>268</v>
      </c>
      <c r="G12" s="404">
        <f t="shared" si="1"/>
        <v>89.333333333333329</v>
      </c>
      <c r="H12" s="403">
        <f>IF(ISNUMBER(Datos!O12),Datos!O12," - ")</f>
        <v>417</v>
      </c>
      <c r="I12" s="404">
        <f t="shared" si="2"/>
        <v>139</v>
      </c>
      <c r="BZ12" s="1186">
        <f>Datos!EZ12</f>
        <v>0</v>
      </c>
    </row>
    <row r="13" spans="1:78" ht="14.25" thickTop="1" thickBot="1">
      <c r="A13" s="848" t="str">
        <f>Datos!A13</f>
        <v>TOTAL</v>
      </c>
      <c r="B13" s="849">
        <f>Datos!AP13</f>
        <v>3</v>
      </c>
      <c r="C13" s="851">
        <f>Datos!AR13</f>
        <v>3</v>
      </c>
      <c r="D13" s="849">
        <f>SUBTOTAL(9,D9:D12)</f>
        <v>246</v>
      </c>
      <c r="E13" s="850">
        <f t="shared" si="0"/>
        <v>82</v>
      </c>
      <c r="F13" s="849">
        <f>SUBTOTAL(9,F9:F12)</f>
        <v>271</v>
      </c>
      <c r="G13" s="850">
        <f t="shared" si="1"/>
        <v>90.333333333333329</v>
      </c>
      <c r="H13" s="849">
        <f>SUBTOTAL(9,H9:H12)</f>
        <v>417</v>
      </c>
      <c r="I13" s="850">
        <f>IF(ISNUMBER(H13/B13),H13/B13," - ")</f>
        <v>139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105</v>
      </c>
      <c r="E16" s="404">
        <f t="shared" si="3"/>
        <v>35</v>
      </c>
      <c r="F16" s="403">
        <f>IF(ISNUMBER(Datos!N16),Datos!N16," - ")</f>
        <v>193</v>
      </c>
      <c r="G16" s="404">
        <f t="shared" si="4"/>
        <v>64.333333333333329</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116</v>
      </c>
      <c r="E18" s="850">
        <f t="shared" si="3"/>
        <v>38.666666666666664</v>
      </c>
      <c r="F18" s="849">
        <f>SUBTOTAL(9,F15:F17)</f>
        <v>222</v>
      </c>
      <c r="G18" s="850">
        <f t="shared" si="4"/>
        <v>74</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362</v>
      </c>
      <c r="E19" s="795">
        <f>IF(ISNUMBER(D19/B19),D19/B19," - ")</f>
        <v>120.66666666666667</v>
      </c>
      <c r="F19" s="794">
        <f>SUBTOTAL(9,F8:F18)</f>
        <v>493</v>
      </c>
      <c r="G19" s="795">
        <f>IF(ISNUMBER(F19/B19),F19/B19," - ")</f>
        <v>164.33333333333334</v>
      </c>
      <c r="H19" s="794">
        <f>SUBTOTAL(9,H8:H18)</f>
        <v>419</v>
      </c>
      <c r="I19" s="795">
        <f>IF(ISNUMBER(H19/B19),H19/B19," - ")</f>
        <v>139.66666666666666</v>
      </c>
    </row>
    <row r="22" spans="1:78">
      <c r="A22" s="391" t="str">
        <f>Criterios!A4</f>
        <v>Fecha Informe: 25 sep. 2025</v>
      </c>
    </row>
    <row r="27" spans="1:78">
      <c r="A27" s="414"/>
    </row>
  </sheetData>
  <sheetProtection algorithmName="SHA-512" hashValue="z9/vWQ3aHxtWPuQSPgFgjc8VPtJoIrfhKtyxur5Ix7U4P/9UM1IP0RRWgmHZo9gqT+zwKELCufFaPx56vRlI2g==" saltValue="ZdazZvDpYoOZc2xWGAiu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VILAGARCIA DE AROUSA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312</v>
      </c>
      <c r="C12" s="434">
        <f>IF(ISNUMBER(Datos!Q12),Datos!Q12," - ")</f>
        <v>210</v>
      </c>
      <c r="D12" s="408">
        <f>IF(ISNUMBER(Datos!R12),Datos!R12," - ")</f>
        <v>2578</v>
      </c>
    </row>
    <row r="13" spans="1:4" ht="14.25" thickTop="1" thickBot="1">
      <c r="A13" s="848" t="str">
        <f>Datos!A13</f>
        <v>TOTAL</v>
      </c>
      <c r="B13" s="849">
        <f>SUBTOTAL(9,B9:B12)</f>
        <v>314</v>
      </c>
      <c r="C13" s="853">
        <f>SUBTOTAL(9,C9:C12)</f>
        <v>211</v>
      </c>
      <c r="D13" s="851">
        <f>SUBTOTAL(9,D9:D12)</f>
        <v>2583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13</v>
      </c>
      <c r="D16" s="408">
        <f>IF(ISNUMBER(Datos!R16),Datos!R16," - ")</f>
        <v>177</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21</v>
      </c>
      <c r="C18" s="853">
        <f>SUBTOTAL(9,C15:C17)</f>
        <v>13</v>
      </c>
      <c r="D18" s="851">
        <f>SUBTOTAL(9,D15:D17)</f>
        <v>179</v>
      </c>
    </row>
    <row r="19" spans="1:4" ht="16.5" customHeight="1" thickTop="1" thickBot="1">
      <c r="A19" s="793" t="str">
        <f>Datos!A19</f>
        <v>TOTAL JURISDICCIONES</v>
      </c>
      <c r="B19" s="798">
        <f>SUBTOTAL(9,B8:B18)</f>
        <v>335</v>
      </c>
      <c r="C19" s="799">
        <f>SUBTOTAL(9,C8:C18)</f>
        <v>224</v>
      </c>
      <c r="D19" s="800">
        <f>SUBTOTAL(9,D8:D18)</f>
        <v>2762</v>
      </c>
    </row>
    <row r="20" spans="1:4" ht="7.5" customHeight="1"/>
    <row r="21" spans="1:4" ht="6" customHeight="1"/>
    <row r="22" spans="1:4">
      <c r="A22" s="391" t="str">
        <f>Criterios!A4</f>
        <v>Fecha Informe: 25 sep. 2025</v>
      </c>
    </row>
    <row r="27" spans="1:4">
      <c r="A27" s="414"/>
    </row>
  </sheetData>
  <sheetProtection algorithmName="SHA-512" hashValue="i+FbFl8DWHJ5nx0e7usdj1onC69owGN6fjyoFebHg6egws4HrUyHcKDACry5Z1G0btYKdB/rwWxCjnTbXEsGZQ==" saltValue="XUfvNl9i4h7JQMlxTQ87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VILAGARCIA DE AROUSA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-2.9411764705882353E-2</v>
      </c>
      <c r="C10" s="456">
        <f>IF(ISNUMBER((Datos!J10-Datos!T10)/Datos!T10),(Datos!J10-Datos!T10)/Datos!T10," - ")</f>
        <v>0.25</v>
      </c>
      <c r="D10" s="456">
        <f>IF(ISNUMBER((Datos!K10-Datos!U10)/Datos!U10),(Datos!K10-Datos!U10)/Datos!U10," - ")</f>
        <v>0</v>
      </c>
      <c r="E10" s="456">
        <f>IF(ISNUMBER((Datos!L10-Datos!V10)/Datos!V10),(Datos!L10-Datos!V10)/Datos!V10," - ")</f>
        <v>0</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-0.19999999999999996</v>
      </c>
      <c r="I10" s="456">
        <f>IF(ISNUMBER(((NºAsuntos!I10/NºAsuntos!G10)-Datos!BE10)/Datos!BE10),((NºAsuntos!I10/NºAsuntos!G10)-Datos!BE10)/Datos!BE10," - ")</f>
        <v>0</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1.0805500982318271E-2</v>
      </c>
      <c r="C12" s="456">
        <f>IF(ISNUMBER(
   IF(J_V="SI",(Datos!J12-Datos!T12)/Datos!T12,(Datos!J12+Datos!Z12-(Datos!T12+Datos!AH12))/(Datos!T12+Datos!AH12))
     ),IF(J_V="SI",(Datos!J12-Datos!T12)/Datos!T12,(Datos!J12+Datos!Z12-(Datos!T12+Datos!AH12))/(Datos!T12+Datos!AH12))," - ")</f>
        <v>7.407407407407407E-2</v>
      </c>
      <c r="D12" s="456">
        <f>IF(ISNUMBER(
   IF(J_V="SI",(Datos!K12-Datos!U12)/Datos!U12,(Datos!K12+Datos!AA12-(Datos!U12+Datos!AI12))/(Datos!U12+Datos!AI12))
     ),IF(J_V="SI",(Datos!K12-Datos!U12)/Datos!U12,(Datos!K12+Datos!AA12-(Datos!U12+Datos!AI12))/(Datos!U12+Datos!AI12))," - ")</f>
        <v>9.7590361445783133E-2</v>
      </c>
      <c r="E12" s="456">
        <f>IF(ISNUMBER(
   IF(J_V="SI",(Datos!L12-Datos!V12)/Datos!V12,(Datos!L12+Datos!AB12-(Datos!V12+Datos!AJ12))/(Datos!V12+Datos!AJ12))
     ),IF(J_V="SI",(Datos!L12-Datos!V12)/Datos!V12,(Datos!L12+Datos!AB12-(Datos!V12+Datos!AJ12))/(Datos!V12+Datos!AJ12))," - ")</f>
        <v>4.5736687357072854E-3</v>
      </c>
      <c r="F12" s="456">
        <f>IF(ISNUMBER((Datos!M12-Datos!W12)/Datos!W12),(Datos!M12-Datos!W12)/Datos!W12," - ")</f>
        <v>1.6666666666666666E-2</v>
      </c>
      <c r="G12" s="457">
        <f>IF(ISNUMBER((Datos!N12-Datos!X12)/Datos!X12),(Datos!N12-Datos!X12)/Datos!X12," - ")</f>
        <v>-0.24929971988795518</v>
      </c>
      <c r="H12" s="455">
        <f>IF(ISNUMBER(((NºAsuntos!G12/NºAsuntos!E12)-Datos!BD12)/Datos!BD12),((NºAsuntos!G12/NºAsuntos!E12)-Datos!BD12)/Datos!BD12," - ")</f>
        <v>2.1894474449522149E-2</v>
      </c>
      <c r="I12" s="456">
        <f>IF(ISNUMBER(((NºAsuntos!I12/NºAsuntos!G12)-Datos!BE12)/Datos!BE12),((NºAsuntos!I12/NºAsuntos!G12)-Datos!BE12)/Datos!BE12," - ")</f>
        <v>-8.4746273270431313E-2</v>
      </c>
      <c r="J12" s="461">
        <f>IF(ISNUMBER((('Resol  Asuntos'!D12/NºAsuntos!G12)-Datos!BF12)/Datos!BF12),(('Resol  Asuntos'!D12/NºAsuntos!G12)-Datos!BF12)/Datos!BF12," - ")</f>
        <v>-0.37729647292506469</v>
      </c>
      <c r="K12" s="462">
        <f>IF(ISNUMBER((((NºAsuntos!C12+NºAsuntos!E12)/NºAsuntos!G12)-Datos!BG12)/Datos!BG12),(((NºAsuntos!C12+NºAsuntos!E12)/NºAsuntos!G12)-Datos!BG12)/Datos!BG12," - ")</f>
        <v>-6.6668810712102344E-2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1.0362694300518135E-2</v>
      </c>
      <c r="C13" s="855">
        <f>IF(ISNUMBER(
   IF(J_V="SI",(Datos!J13-Datos!T13)/Datos!T13,(Datos!J13+Datos!Z13-(Datos!T13+Datos!AH13))/(Datos!T13+Datos!AH13))
     ),IF(J_V="SI",(Datos!J13-Datos!T13)/Datos!T13,(Datos!J13+Datos!Z13-(Datos!T13+Datos!AH13))/(Datos!T13+Datos!AH13))," - ")</f>
        <v>7.4910820451843038E-2</v>
      </c>
      <c r="D13" s="855">
        <f>IF(ISNUMBER(
   IF(J_V="SI",(Datos!K13-Datos!U13)/Datos!U13,(Datos!K13+Datos!AA13-(Datos!U13+Datos!AI13))/(Datos!U13+Datos!AI13))
     ),IF(J_V="SI",(Datos!K13-Datos!U13)/Datos!U13,(Datos!K13+Datos!AA13-(Datos!U13+Datos!AI13))/(Datos!U13+Datos!AI13))," - ")</f>
        <v>9.7122302158273388E-2</v>
      </c>
      <c r="E13" s="855">
        <f>IF(ISNUMBER(
   IF(J_V="SI",(Datos!L13-Datos!V13)/Datos!V13,(Datos!L13+Datos!AB13-(Datos!V13+Datos!AJ13))/(Datos!V13+Datos!AJ13))
     ),IF(J_V="SI",(Datos!L13-Datos!V13)/Datos!V13,(Datos!L13+Datos!AB13-(Datos!V13+Datos!AJ13))/(Datos!V13+Datos!AJ13))," - ")</f>
        <v>4.5234248788368339E-3</v>
      </c>
      <c r="F13" s="856">
        <f>IF(ISNUMBER((Datos!M13-Datos!W13)/Datos!W13),(Datos!M13-Datos!W13)/Datos!W13," - ")</f>
        <v>1.2345679012345678E-2</v>
      </c>
      <c r="G13" s="857">
        <f>IF(ISNUMBER((Datos!N13-Datos!X13)/Datos!X13),(Datos!N13-Datos!X13)/Datos!X13," - ")</f>
        <v>-0.24089635854341737</v>
      </c>
      <c r="H13" s="857">
        <f>IF(ISNUMBER(((NºAsuntos!G13/NºAsuntos!E13)-Datos!BD13)/Datos!BD13),((NºAsuntos!G13/NºAsuntos!E13)-Datos!BD13)/Datos!BD13," - ")</f>
        <v>2.066355764945571E-2</v>
      </c>
      <c r="I13" s="857">
        <f>IF(ISNUMBER(((NºAsuntos!I13/NºAsuntos!G13)-Datos!BE13)/Datos!BE13),((NºAsuntos!I13/NºAsuntos!G13)-Datos!BE13)/Datos!BE13," - ")</f>
        <v>-8.4401599618633943E-2</v>
      </c>
      <c r="J13" s="857">
        <f>IF(ISNUMBER((('Resol  Asuntos'!D13/NºAsuntos!G13)-Datos!BF13)/Datos!BF13),(('Resol  Asuntos'!D13/NºAsuntos!G13)-Datos!BF13)/Datos!BF13," - ")</f>
        <v>-0.37715846994535518</v>
      </c>
      <c r="K13" s="857">
        <f>IF(ISNUMBER((((NºAsuntos!C13+NºAsuntos!E13)/NºAsuntos!G13)-Datos!BG13)/Datos!BG13),(((NºAsuntos!C13+NºAsuntos!E13)/NºAsuntos!G13)-Datos!BG13)/Datos!BG13," - ")</f>
        <v>-6.6485861750998146E-2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-0.13764044943820225</v>
      </c>
      <c r="C16" s="456">
        <f>IF(ISNUMBER(
   IF(D_I="SI",(Datos!J16-Datos!T16)/Datos!T16,(Datos!J16+Datos!AD16-(Datos!T16+Datos!AL16))/(Datos!T16+Datos!AL16))
     ),IF(D_I="SI",(Datos!J16-Datos!T16)/Datos!T16,(Datos!J16+Datos!AD16-(Datos!T16+Datos!AL16))/(Datos!T16+Datos!AL16))," - ")</f>
        <v>7.1287128712871281E-2</v>
      </c>
      <c r="D16" s="456">
        <f>IF(ISNUMBER(
   IF(D_I="SI",(Datos!K16-Datos!U16)/Datos!U16,(Datos!K16+Datos!AE16-(Datos!U16+Datos!AM16))/(Datos!U16+Datos!AM16))
     ),IF(D_I="SI",(Datos!K16-Datos!U16)/Datos!U16,(Datos!K16+Datos!AE16-(Datos!U16+Datos!AM16))/(Datos!U16+Datos!AM16))," - ")</f>
        <v>4.1666666666666664E-2</v>
      </c>
      <c r="E16" s="456">
        <f>IF(ISNUMBER(
   IF(D_I="SI",(Datos!L16-Datos!V16)/Datos!V16,(Datos!L16+Datos!AF16-(Datos!V16+Datos!AN16))/(Datos!V16+Datos!AN16))
     ),IF(D_I="SI",(Datos!L16-Datos!V16)/Datos!V16,(Datos!L16+Datos!AF16-(Datos!V16+Datos!AN16))/(Datos!V16+Datos!AN16))," - ")</f>
        <v>-0.11045364891518737</v>
      </c>
      <c r="F16" s="456">
        <f>IF(ISNUMBER((Datos!M16-Datos!W16)/Datos!W16),(Datos!M16-Datos!W16)/Datos!W16," - ")</f>
        <v>-6.25E-2</v>
      </c>
      <c r="G16" s="457">
        <f>IF(ISNUMBER((Datos!N16-Datos!X16)/Datos!X16),(Datos!N16-Datos!X16)/Datos!X16," - ")</f>
        <v>7.2222222222222215E-2</v>
      </c>
      <c r="H16" s="455">
        <f>IF(ISNUMBER(((NºAsuntos!G16/NºAsuntos!E16)-Datos!BD16)/Datos!BD16),((NºAsuntos!G16/NºAsuntos!E16)-Datos!BD16)/Datos!BD16," - ")</f>
        <v>-2.7649414664202218E-2</v>
      </c>
      <c r="I16" s="456">
        <f>IF(ISNUMBER(((NºAsuntos!I16/NºAsuntos!G16)-Datos!BE16)/Datos!BE16),((NºAsuntos!I16/NºAsuntos!G16)-Datos!BE16)/Datos!BE16," - ")</f>
        <v>-0.14603550295857989</v>
      </c>
      <c r="J16" s="461">
        <f>IF(ISNUMBER((('Resol  Asuntos'!D16/NºAsuntos!G16)-Datos!BF16)/Datos!BF16),(('Resol  Asuntos'!D16/NºAsuntos!G16)-Datos!BF16)/Datos!BF16," - ")</f>
        <v>-0.10000000000000005</v>
      </c>
      <c r="K16" s="462">
        <f>IF(ISNUMBER((((NºAsuntos!C16+NºAsuntos!E16)/NºAsuntos!G16)-Datos!BG16)/Datos!BG16),(((NºAsuntos!C16+NºAsuntos!E16)/NºAsuntos!G16)-Datos!BG16)/Datos!BG16," - ")</f>
        <v>-0.11962674961119749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-8.9820359281437126E-2</v>
      </c>
      <c r="C17" s="456">
        <f>IF(ISNUMBER(
   IF(D_I="SI",(Datos!J17-Datos!T17)/Datos!T17,(Datos!J17+Datos!AD17-(Datos!T17+Datos!AL17))/(Datos!T17+Datos!AL17))
     ),IF(D_I="SI",(Datos!J17-Datos!T17)/Datos!T17,(Datos!J17+Datos!AD17-(Datos!T17+Datos!AL17))/(Datos!T17+Datos!AL17))," - ")</f>
        <v>0.19047619047619047</v>
      </c>
      <c r="D17" s="456">
        <f>IF(ISNUMBER(
   IF(D_I="SI",(Datos!K17-Datos!U17)/Datos!U17,(Datos!K17+Datos!AE17-(Datos!U17+Datos!AM17))/(Datos!U17+Datos!AM17))
     ),IF(D_I="SI",(Datos!K17-Datos!U17)/Datos!U17,(Datos!K17+Datos!AE17-(Datos!U17+Datos!AM17))/(Datos!U17+Datos!AM17))," - ")</f>
        <v>-0.12745098039215685</v>
      </c>
      <c r="E17" s="456">
        <f>IF(ISNUMBER(
   IF(D_I="SI",(Datos!L17-Datos!V17)/Datos!V17,(Datos!L17+Datos!AF17-(Datos!V17+Datos!AN17))/(Datos!V17+Datos!AN17))
     ),IF(D_I="SI",(Datos!L17-Datos!V17)/Datos!V17,(Datos!L17+Datos!AF17-(Datos!V17+Datos!AN17))/(Datos!V17+Datos!AN17))," - ")</f>
        <v>7.8125E-2</v>
      </c>
      <c r="F17" s="456">
        <f>IF(ISNUMBER((Datos!M17-Datos!W17)/Datos!W17),(Datos!M17-Datos!W17)/Datos!W17," - ")</f>
        <v>0.22222222222222221</v>
      </c>
      <c r="G17" s="457">
        <f>IF(ISNUMBER((Datos!N17-Datos!X17)/Datos!X17),(Datos!N17-Datos!X17)/Datos!X17," - ")</f>
        <v>-0.19444444444444445</v>
      </c>
      <c r="H17" s="455">
        <f>IF(ISNUMBER(((NºAsuntos!G17/NºAsuntos!E17)-Datos!BD17)/Datos!BD17),((NºAsuntos!G17/NºAsuntos!E17)-Datos!BD17)/Datos!BD17," - ")</f>
        <v>-0.26705882352941174</v>
      </c>
      <c r="I17" s="456">
        <f>IF(ISNUMBER(((NºAsuntos!I17/NºAsuntos!G17)-Datos!BE17)/Datos!BE17),((NºAsuntos!I17/NºAsuntos!G17)-Datos!BE17)/Datos!BE17," - ")</f>
        <v>0.23560393258426968</v>
      </c>
      <c r="J17" s="461">
        <f>IF(ISNUMBER((('Resol  Asuntos'!D17/NºAsuntos!G17)-Datos!BF17)/Datos!BF17),(('Resol  Asuntos'!D17/NºAsuntos!G17)-Datos!BF17)/Datos!BF17," - ")</f>
        <v>0.40074906367041185</v>
      </c>
      <c r="K17" s="462">
        <f>IF(ISNUMBER((((NºAsuntos!C17+NºAsuntos!E17)/NºAsuntos!G17)-Datos!BG17)/Datos!BG17),(((NºAsuntos!C17+NºAsuntos!E17)/NºAsuntos!G17)-Datos!BG17)/Datos!BG17," - ")</f>
        <v>0.13111871030776737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-0.13262099308610936</v>
      </c>
      <c r="C18" s="855">
        <f>IF(ISNUMBER(
   IF(Criterios!B14="SI",(Datos!J18-Datos!T18)/Datos!T18,(Datos!J18+Datos!AD18-(Datos!T18+Datos!AL18))/(Datos!T18+Datos!AL18))
     ),IF(Criterios!B14="SI",(Datos!J18-Datos!T18)/Datos!T18,(Datos!J18+Datos!AD18-(Datos!T18+Datos!AL18))/(Datos!T18+Datos!AL18))," - ")</f>
        <v>8.4507042253521125E-2</v>
      </c>
      <c r="D18" s="855">
        <f>IF(ISNUMBER(
   IF(Criterios!B14="SI",(Datos!K18-Datos!U18)/Datos!U18,(Datos!K18+Datos!AE18-(Datos!U18+Datos!AM18))/(Datos!U18+Datos!AM18))
     ),IF(Criterios!B14="SI",(Datos!K18-Datos!U18)/Datos!U18,(Datos!K18+Datos!AE18-(Datos!U18+Datos!AM18))/(Datos!U18+Datos!AM18))," - ")</f>
        <v>7.8431372549019607E-3</v>
      </c>
      <c r="E18" s="855">
        <f>IF(ISNUMBER(
   IF(Criterios!B14="SI",(Datos!L18-Datos!V18)/Datos!V18,(Datos!L18+Datos!AF18-(Datos!V18+Datos!AN18))/(Datos!V18+Datos!AN18))
     ),IF(Criterios!B14="SI",(Datos!L18-Datos!V18)/Datos!V18,(Datos!L18+Datos!AF18-(Datos!V18+Datos!AN18))/(Datos!V18+Datos!AN18))," - ")</f>
        <v>-9.5815645845967259E-2</v>
      </c>
      <c r="F18" s="856">
        <f>IF(ISNUMBER((Datos!M18-Datos!W18)/Datos!W18),(Datos!M18-Datos!W18)/Datos!W18," - ")</f>
        <v>-4.1322314049586778E-2</v>
      </c>
      <c r="G18" s="857">
        <f>IF(ISNUMBER((Datos!N18-Datos!X18)/Datos!X18),(Datos!N18-Datos!X18)/Datos!X18," - ")</f>
        <v>2.7777777777777776E-2</v>
      </c>
      <c r="H18" s="857">
        <f>IF(ISNUMBER(((NºAsuntos!G18/NºAsuntos!E18)-Datos!BD18)/Datos!BD18),((NºAsuntos!G18/NºAsuntos!E18)-Datos!BD18)/Datos!BD18," - ")</f>
        <v>-7.0690094219506047E-2</v>
      </c>
      <c r="I18" s="857">
        <f>IF(ISNUMBER(((NºAsuntos!I18/NºAsuntos!G18)-Datos!BE18)/Datos!BE18),((NºAsuntos!I18/NºAsuntos!G18)-Datos!BE18)/Datos!BE18," - ")</f>
        <v>-0.10285209996389752</v>
      </c>
      <c r="J18" s="857">
        <f>IF(ISNUMBER((('Resol  Asuntos'!D18/NºAsuntos!G18)-Datos!BF18)/Datos!BF18),(('Resol  Asuntos'!D18/NºAsuntos!G18)-Datos!BF18)/Datos!BF18," - ")</f>
        <v>-4.8782840788500446E-2</v>
      </c>
      <c r="K18" s="857">
        <f>IF(ISNUMBER((((NºAsuntos!C18+NºAsuntos!E18)/NºAsuntos!G18)-Datos!BG18)/Datos!BG18),(((NºAsuntos!C18+NºAsuntos!E18)/NºAsuntos!G18)-Datos!BG18)/Datos!BG18," - ")</f>
        <v>-8.2692484451116779E-2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-3.825603761487497E-2</v>
      </c>
      <c r="C19" s="802">
        <f>IF(ISNUMBER(
   IF(J_V="SI",(Datos!J19-Datos!T19)/Datos!T19,(Datos!J19+Datos!Z19-(Datos!T19+Datos!AH19))/(Datos!T19+Datos!AH19))
     ),IF(J_V="SI",(Datos!J19-Datos!T19)/Datos!T19,(Datos!J19+Datos!Z19-(Datos!T19+Datos!AH19))/(Datos!T19+Datos!AH19))," - ")</f>
        <v>7.877927608232789E-2</v>
      </c>
      <c r="D19" s="802">
        <f>IF(ISNUMBER(
   IF(J_V="SI",(Datos!K19-Datos!U19)/Datos!U19,(Datos!K19+Datos!AA19-(Datos!U19+Datos!AI19))/(Datos!U19+Datos!AI19))
     ),IF(J_V="SI",(Datos!K19-Datos!U19)/Datos!U19,(Datos!K19+Datos!AA19-(Datos!U19+Datos!AI19))/(Datos!U19+Datos!AI19))," - ")</f>
        <v>6.3244047619047616E-2</v>
      </c>
      <c r="E19" s="802">
        <f>IF(ISNUMBER(
   IF(J_V="SI",(Datos!L19-Datos!V19)/Datos!V19,(Datos!L19+Datos!AB19-(Datos!V19+Datos!AJ19))/(Datos!V19+Datos!AJ19))
     ),IF(J_V="SI",(Datos!L19-Datos!V19)/Datos!V19,(Datos!L19+Datos!AB19-(Datos!V19+Datos!AJ19))/(Datos!V19+Datos!AJ19))," - ")</f>
        <v>-3.0354131534569982E-2</v>
      </c>
      <c r="F19" s="803">
        <f>IF(ISNUMBER((Datos!M19-Datos!W19)/Datos!W19),(Datos!M19-Datos!W19)/Datos!W19," - ")</f>
        <v>-5.4945054945054949E-3</v>
      </c>
      <c r="G19" s="804">
        <f>IF(ISNUMBER((Datos!N19-Datos!X19)/Datos!X19),(Datos!N19-Datos!X19)/Datos!X19," - ")</f>
        <v>-0.13961605584642234</v>
      </c>
      <c r="H19" s="805">
        <f>IF(ISNUMBER((Tasas!B19-Datos!BD19)/Datos!BD19),(Tasas!B19-Datos!BD19)/Datos!BD19," - ")</f>
        <v>-1.4400747963659097E-2</v>
      </c>
      <c r="I19" s="806">
        <f>IF(ISNUMBER((Tasas!C19-Datos!BE19)/Datos!BE19),(Tasas!C19-Datos!BE19)/Datos!BE19," - ")</f>
        <v>-8.8030757720407277E-2</v>
      </c>
      <c r="J19" s="807">
        <f>IF(ISNUMBER((Tasas!D19-Datos!BF19)/Datos!BF19),(Tasas!D19-Datos!BF19)/Datos!BF19," - ")</f>
        <v>-0.29216744332209699</v>
      </c>
      <c r="K19" s="807">
        <f>IF(ISNUMBER((Tasas!E19-Datos!BG19)/Datos!BG19),(Tasas!E19-Datos!BG19)/Datos!BG19," - ")</f>
        <v>-6.9987282396095862E-2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ecHu1tzVs2gD9gNH/p3xpAWXb4X0WXI2ko3XiA1jhhFHR5EBgQXEYsscqgP/5gE7Sob5zOr44QUUWXpLj8NBA==" saltValue="CvmOk/nS0mUtWwTGl+Eo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VILAGARCIA DE AROUSA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8.5</v>
      </c>
      <c r="D10" s="444">
        <f>IF(ISNUMBER('Resol  Asuntos'!D10/NºAsuntos!G10),'Resol  Asuntos'!D10/NºAsuntos!G10," - ")</f>
        <v>0.5</v>
      </c>
      <c r="E10" s="445">
        <f>IF(ISNUMBER((NºAsuntos!C10+NºAsuntos!E10)/NºAsuntos!G10),(NºAsuntos!C10+NºAsuntos!E10)/NºAsuntos!G10," - ")</f>
        <v>9.5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1.0133481646273637</v>
      </c>
      <c r="C12" s="443">
        <f>IF(ISNUMBER(NºAsuntos!I12/NºAsuntos!G12),NºAsuntos!I12/NºAsuntos!G12," - ")</f>
        <v>3.375411635565313</v>
      </c>
      <c r="D12" s="444">
        <f>IF(ISNUMBER('Resol  Asuntos'!D12/NºAsuntos!G12),'Resol  Asuntos'!D12/NºAsuntos!G12," - ")</f>
        <v>0.26783754116355651</v>
      </c>
      <c r="E12" s="445">
        <f>IF(ISNUMBER((NºAsuntos!C12+NºAsuntos!E12)/NºAsuntos!G12),(NºAsuntos!C12+NºAsuntos!E12)/NºAsuntos!G12," - ")</f>
        <v>4.375411635565313</v>
      </c>
      <c r="G12" s="463"/>
    </row>
    <row r="13" spans="1:7" ht="14.25" thickTop="1" thickBot="1">
      <c r="A13" s="848" t="str">
        <f>Datos!A13</f>
        <v>TOTAL</v>
      </c>
      <c r="B13" s="858">
        <f>IF(ISNUMBER(NºAsuntos!G13/NºAsuntos!E13),NºAsuntos!G13/NºAsuntos!E13," - ")</f>
        <v>1.0121681415929205</v>
      </c>
      <c r="C13" s="859">
        <f>IF(ISNUMBER(NºAsuntos!I13/NºAsuntos!G13),NºAsuntos!I13/NºAsuntos!G13," - ")</f>
        <v>3.3978142076502733</v>
      </c>
      <c r="D13" s="860">
        <f>IF(ISNUMBER('Resol  Asuntos'!D13/NºAsuntos!G13),'Resol  Asuntos'!D13/NºAsuntos!G13," - ")</f>
        <v>0.26885245901639343</v>
      </c>
      <c r="E13" s="861">
        <f>IF(ISNUMBER((NºAsuntos!C13+NºAsuntos!E13)/NºAsuntos!G13),(NºAsuntos!C13+NºAsuntos!E13)/NºAsuntos!G13," - ")</f>
        <v>4.3978142076502733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0.78558225508317925</v>
      </c>
      <c r="C16" s="443">
        <f>IF(ISNUMBER(NºAsuntos!I16/NºAsuntos!G16),NºAsuntos!I16/NºAsuntos!G16," - ")</f>
        <v>3.1835294117647059</v>
      </c>
      <c r="D16" s="444">
        <f>IF(ISNUMBER('Resol  Asuntos'!D16/NºAsuntos!G16),'Resol  Asuntos'!D16/NºAsuntos!G16," - ")</f>
        <v>0.24705882352941178</v>
      </c>
      <c r="E16" s="445">
        <f>IF(ISNUMBER((NºAsuntos!C16+NºAsuntos!E16)/NºAsuntos!G16),(NºAsuntos!C16+NºAsuntos!E16)/NºAsuntos!G16," - ")</f>
        <v>4.1623529411764704</v>
      </c>
      <c r="G16" s="463"/>
    </row>
    <row r="17" spans="1:7" ht="13.5" thickBot="1">
      <c r="A17" s="402" t="str">
        <f>Datos!A17</f>
        <v>Jdos. Violencia contra la mujer</v>
      </c>
      <c r="B17" s="442">
        <f>IF(ISNUMBER(NºAsuntos!G17/NºAsuntos!E17),NºAsuntos!G17/NºAsuntos!E17," - ")</f>
        <v>1.1866666666666668</v>
      </c>
      <c r="C17" s="443">
        <f>IF(ISNUMBER(NºAsuntos!I17/NºAsuntos!G17),NºAsuntos!I17/NºAsuntos!G17," - ")</f>
        <v>1.550561797752809</v>
      </c>
      <c r="D17" s="444">
        <f>IF(ISNUMBER('Resol  Asuntos'!D17/NºAsuntos!G17),'Resol  Asuntos'!D17/NºAsuntos!G17," - ")</f>
        <v>0.12359550561797752</v>
      </c>
      <c r="E17" s="445">
        <f>IF(ISNUMBER((NºAsuntos!C17+NºAsuntos!E17)/NºAsuntos!G17),(NºAsuntos!C17+NºAsuntos!E17)/NºAsuntos!G17," - ")</f>
        <v>2.5505617977528088</v>
      </c>
      <c r="G17" s="463"/>
    </row>
    <row r="18" spans="1:7" ht="14.25" thickTop="1" thickBot="1">
      <c r="A18" s="848" t="str">
        <f>Datos!A18</f>
        <v>TOTAL</v>
      </c>
      <c r="B18" s="858">
        <f>IF(ISNUMBER(NºAsuntos!G18/NºAsuntos!E18),NºAsuntos!G18/NºAsuntos!E18," - ")</f>
        <v>0.83441558441558439</v>
      </c>
      <c r="C18" s="859">
        <f>IF(ISNUMBER(NºAsuntos!I18/NºAsuntos!G18),NºAsuntos!I18/NºAsuntos!G18," - ")</f>
        <v>2.9007782101167314</v>
      </c>
      <c r="D18" s="862">
        <f>IF(ISNUMBER('Resol  Asuntos'!D18/NºAsuntos!G18),'Resol  Asuntos'!D18/NºAsuntos!G18," - ")</f>
        <v>0.22568093385214008</v>
      </c>
      <c r="E18" s="861">
        <f>IF(ISNUMBER((NºAsuntos!C18+NºAsuntos!E18)/NºAsuntos!G18),(NºAsuntos!C18+NºAsuntos!E18)/NºAsuntos!G18," - ")</f>
        <v>3.8832684824902723</v>
      </c>
      <c r="G18" s="463"/>
    </row>
    <row r="19" spans="1:7" ht="15.75" customHeight="1" thickTop="1" thickBot="1">
      <c r="A19" s="793" t="str">
        <f>Datos!A19</f>
        <v>TOTAL JURISDICCIONES</v>
      </c>
      <c r="B19" s="808">
        <f>IF(ISNUMBER(NºAsuntos!G19/NºAsuntos!E19),NºAsuntos!G19/NºAsuntos!E19," - ")</f>
        <v>0.94013157894736843</v>
      </c>
      <c r="C19" s="809">
        <f>IF(ISNUMBER(NºAsuntos!I19/NºAsuntos!G19),NºAsuntos!I19/NºAsuntos!G19," - ")</f>
        <v>3.2190342897130861</v>
      </c>
      <c r="D19" s="810">
        <f>IF(ISNUMBER('Resol  Asuntos'!D19/NºAsuntos!G19),'Resol  Asuntos'!D19/NºAsuntos!G19," - ")</f>
        <v>0.25332400279916023</v>
      </c>
      <c r="E19" s="811">
        <f>IF(ISNUMBER((NºAsuntos!C19+NºAsuntos!E19)/NºAsuntos!G19),(NºAsuntos!C19+NºAsuntos!E19)/NºAsuntos!G19," - ")</f>
        <v>4.2127361791462565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kNfxTP2qHEiqF9u+ZLnBGC3KZE3C3zcuJz2XtzMlT/bIN8UgjHVWNVcZDWiRpO2E0CccpeYwIjJabTYNDcCQw==" saltValue="llstMrU19xEfvQfNhWUO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VILAGARCIA DE AROUSA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34</v>
      </c>
      <c r="AB10" s="334">
        <f>IF(ISNUMBER(Datos!R10),Datos!R10," - ")</f>
        <v>5</v>
      </c>
      <c r="AC10" s="334">
        <f t="shared" ref="AC10:AC12" si="1">IF(ISNUMBER(AA10+AB10),AA10+AB10," - ")</f>
        <v>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25.5</v>
      </c>
      <c r="AN10" s="244">
        <f>IF(ISNUMBER('Resol  Asuntos'!D10/NºAsuntos!G10),'Resol  Asuntos'!D10/NºAsuntos!G10," - ")</f>
        <v>0.5</v>
      </c>
      <c r="AO10" s="245">
        <f>IF(ISNUMBER((NºAsuntos!C10+NºAsuntos!E10)/NºAsuntos!G10),(NºAsuntos!C10+NºAsuntos!E10)/NºAsuntos!G10," - ")</f>
        <v>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210</v>
      </c>
      <c r="Y12" s="334">
        <f t="shared" si="0"/>
        <v>210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244</v>
      </c>
      <c r="AJ12" s="229" t="str">
        <f>IF(ISNUMBER(Datos!BW12),Datos!BW12," - ")</f>
        <v xml:space="preserve"> - </v>
      </c>
      <c r="AK12" s="228" t="str">
        <f>IF(ISNUMBER(Datos!BX12),Datos!BX12," - ")</f>
        <v xml:space="preserve"> - </v>
      </c>
      <c r="AL12" s="243">
        <f>IF(ISNUMBER(NºAsuntos!G12/NºAsuntos!E12),NºAsuntos!G12/NºAsuntos!E12," - ")</f>
        <v>1.0133481646273637</v>
      </c>
      <c r="AM12" s="260">
        <f>IF(ISNUMBER(((NºAsuntos!I12/NºAsuntos!G12)*11)/factor_trimestre),((NºAsuntos!I12/NºAsuntos!G12)*11)/factor_trimestre," - ")</f>
        <v>10.12623490669594</v>
      </c>
      <c r="AN12" s="244">
        <f>IF(ISNUMBER('Resol  Asuntos'!D12/NºAsuntos!G12),'Resol  Asuntos'!D12/NºAsuntos!G12," - ")</f>
        <v>0.26783754116355651</v>
      </c>
      <c r="AO12" s="245">
        <f>IF(ISNUMBER((NºAsuntos!C12+NºAsuntos!E12)/NºAsuntos!G12),(NºAsuntos!C12+NºAsuntos!E12)/NºAsuntos!G12," - ")</f>
        <v>4.375411635565313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33</v>
      </c>
      <c r="G13" s="866">
        <f t="shared" si="3"/>
        <v>33</v>
      </c>
      <c r="H13" s="865">
        <f t="shared" si="3"/>
        <v>0</v>
      </c>
      <c r="I13" s="867">
        <f t="shared" si="3"/>
        <v>0</v>
      </c>
      <c r="J13" s="867">
        <f t="shared" si="3"/>
        <v>0</v>
      </c>
      <c r="K13" s="867">
        <f t="shared" si="3"/>
        <v>0</v>
      </c>
      <c r="L13" s="867">
        <f t="shared" si="3"/>
        <v>314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211</v>
      </c>
      <c r="Y13" s="868">
        <f t="shared" si="4"/>
        <v>215</v>
      </c>
      <c r="Z13" s="868">
        <f t="shared" si="4"/>
        <v>0</v>
      </c>
      <c r="AA13" s="868">
        <f t="shared" si="4"/>
        <v>34</v>
      </c>
      <c r="AB13" s="868">
        <f t="shared" si="4"/>
        <v>2583</v>
      </c>
      <c r="AC13" s="868">
        <f t="shared" si="4"/>
        <v>39</v>
      </c>
      <c r="AD13" s="868">
        <f t="shared" si="4"/>
        <v>0</v>
      </c>
      <c r="AE13" s="872">
        <f t="shared" si="4"/>
        <v>0</v>
      </c>
      <c r="AF13" s="865">
        <f t="shared" si="4"/>
        <v>0</v>
      </c>
      <c r="AG13" s="873">
        <f t="shared" si="4"/>
        <v>0</v>
      </c>
      <c r="AH13" s="870">
        <f t="shared" si="4"/>
        <v>0</v>
      </c>
      <c r="AI13" s="865">
        <f t="shared" si="4"/>
        <v>246</v>
      </c>
      <c r="AJ13" s="867">
        <f t="shared" si="4"/>
        <v>0</v>
      </c>
      <c r="AK13" s="870">
        <f>SUBTOTAL(9,AK9:AK12)</f>
        <v>0</v>
      </c>
      <c r="AL13" s="874">
        <f>IF(ISNUMBER(NºAsuntos!G13/NºAsuntos!E13),NºAsuntos!G13/NºAsuntos!E13," - ")</f>
        <v>1.0121681415929205</v>
      </c>
      <c r="AM13" s="874">
        <f>IF(ISNUMBER(((NºAsuntos!I13/NºAsuntos!G13)*11)/factor_trimestre),((NºAsuntos!I13/NºAsuntos!G13)*11)/factor_trimestre," - ")</f>
        <v>10.193442622950821</v>
      </c>
      <c r="AN13" s="875">
        <f>IF(ISNUMBER('Resol  Asuntos'!D13/NºAsuntos!G13),'Resol  Asuntos'!D13/NºAsuntos!G13," - ")</f>
        <v>0.26885245901639343</v>
      </c>
      <c r="AO13" s="876">
        <f>IF(ISNUMBER((NºAsuntos!C13+NºAsuntos!E13)/NºAsuntos!G13),(NºAsuntos!C13+NºAsuntos!E13)/NºAsuntos!G13," - ")</f>
        <v>4.3978142076502733</v>
      </c>
      <c r="AP13" s="877" t="str">
        <f t="shared" si="2"/>
        <v xml:space="preserve"> - </v>
      </c>
      <c r="AQ13" s="877">
        <f>IF(ISNUMBER((H13-W13+K13)/(F13)),(H13-W13+K13)/(F13)," - ")</f>
        <v>-0.12121212121212122</v>
      </c>
      <c r="AR13" s="878">
        <f>IF(ISNUMBER((Datos!P13-Datos!Q13)/(Datos!R13-Datos!P13+Datos!Q13)),(Datos!P13-Datos!Q13)/(Datos!R13-Datos!P13+Datos!Q13)," - ")</f>
        <v>4.1532258064516131E-2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1237</v>
      </c>
      <c r="G16" s="333">
        <f>IF(ISNUMBER(IF(D_I="SI",Datos!I16,Datos!I16+Datos!AC16)),IF(D_I="SI",Datos!I16,Datos!I16+Datos!AC16)," - ")</f>
        <v>1228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425</v>
      </c>
      <c r="X16" s="226">
        <f>IF(ISNUMBER(Datos!Q16),Datos!Q16," - ")</f>
        <v>13</v>
      </c>
      <c r="Y16" s="334">
        <f t="shared" ref="Y16:Y17" si="7">SUM(W16:X16)</f>
        <v>438</v>
      </c>
      <c r="Z16" s="335" t="str">
        <f>IF(ISNUMBER(Datos!CC16),Datos!CC16," - ")</f>
        <v xml:space="preserve"> - </v>
      </c>
      <c r="AA16" s="332">
        <f>IF(ISNUMBER(IF(D_I="SI",Datos!L16,Datos!L16+Datos!AF16)),IF(D_I="SI",Datos!L16,Datos!L16+Datos!AF16)," - ")</f>
        <v>1353</v>
      </c>
      <c r="AB16" s="334">
        <f>IF(ISNUMBER(Datos!R16),Datos!R16," - ")</f>
        <v>177</v>
      </c>
      <c r="AC16" s="334">
        <f t="shared" si="6"/>
        <v>1530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105</v>
      </c>
      <c r="AJ16" s="231" t="str">
        <f>IF(ISNUMBER(Datos!BW16),Datos!BW16," - ")</f>
        <v xml:space="preserve"> - </v>
      </c>
      <c r="AK16" s="232" t="str">
        <f>IF(ISNUMBER(Datos!BX16),Datos!BX16," - ")</f>
        <v xml:space="preserve"> - </v>
      </c>
      <c r="AL16" s="243">
        <f>IF(ISNUMBER(NºAsuntos!G16/NºAsuntos!E16),NºAsuntos!G16/NºAsuntos!E16," - ")</f>
        <v>0.78558225508317925</v>
      </c>
      <c r="AM16" s="260">
        <f>IF(ISNUMBER(((NºAsuntos!I16/NºAsuntos!G16)*11)/factor_trimestre),((NºAsuntos!I16/NºAsuntos!G16)*11)/factor_trimestre," - ")</f>
        <v>9.5505882352941178</v>
      </c>
      <c r="AN16" s="244">
        <f>IF(ISNUMBER('Resol  Asuntos'!D16/NºAsuntos!G16),'Resol  Asuntos'!D16/NºAsuntos!G16," - ")</f>
        <v>0.24705882352941178</v>
      </c>
      <c r="AO16" s="245">
        <f>IF(ISNUMBER((NºAsuntos!C16+NºAsuntos!E16)/NºAsuntos!G16),(NºAsuntos!C16+NºAsuntos!E16)/NºAsuntos!G16," - ")</f>
        <v>4.1623529411764704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89</v>
      </c>
      <c r="X17" s="226">
        <f>IF(ISNUMBER(Datos!Q17),Datos!Q17," - ")</f>
        <v>0</v>
      </c>
      <c r="Y17" s="334">
        <f t="shared" si="7"/>
        <v>89</v>
      </c>
      <c r="Z17" s="335" t="str">
        <f>IF(ISNUMBER(Datos!CC17),Datos!CC17," - ")</f>
        <v xml:space="preserve"> - </v>
      </c>
      <c r="AA17" s="332">
        <f>IF(ISNUMBER(Datos!L17),Datos!L17,"-")</f>
        <v>138</v>
      </c>
      <c r="AB17" s="334">
        <f>IF(ISNUMBER(Datos!R17),Datos!R17," - ")</f>
        <v>2</v>
      </c>
      <c r="AC17" s="334">
        <f t="shared" si="6"/>
        <v>140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1.1866666666666668</v>
      </c>
      <c r="AM17" s="260">
        <f>IF(ISNUMBER(((NºAsuntos!I17/NºAsuntos!G17)*11)/factor_trimestre),((NºAsuntos!I17/NºAsuntos!G17)*11)/factor_trimestre," - ")</f>
        <v>4.6516853932584272</v>
      </c>
      <c r="AN17" s="244">
        <f>IF(ISNUMBER('Resol  Asuntos'!D17/NºAsuntos!G17),'Resol  Asuntos'!D17/NºAsuntos!G17," - ")</f>
        <v>0.12359550561797752</v>
      </c>
      <c r="AO17" s="245">
        <f>IF(ISNUMBER((NºAsuntos!C17+NºAsuntos!E17)/NºAsuntos!G17),(NºAsuntos!C17+NºAsuntos!E17)/NºAsuntos!G17," - ")</f>
        <v>2.5505617977528088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1237</v>
      </c>
      <c r="G18" s="866">
        <f>SUBTOTAL(9,G15:G17)</f>
        <v>1380</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514</v>
      </c>
      <c r="X18" s="867">
        <f t="shared" si="11"/>
        <v>13</v>
      </c>
      <c r="Y18" s="868">
        <f t="shared" si="11"/>
        <v>527</v>
      </c>
      <c r="Z18" s="868">
        <f t="shared" si="11"/>
        <v>0</v>
      </c>
      <c r="AA18" s="868">
        <f t="shared" si="11"/>
        <v>1491</v>
      </c>
      <c r="AB18" s="868">
        <f t="shared" si="11"/>
        <v>179</v>
      </c>
      <c r="AC18" s="868">
        <f t="shared" si="11"/>
        <v>1670</v>
      </c>
      <c r="AD18" s="868">
        <f t="shared" si="11"/>
        <v>0</v>
      </c>
      <c r="AE18" s="872">
        <f t="shared" si="11"/>
        <v>0</v>
      </c>
      <c r="AF18" s="865">
        <f t="shared" si="11"/>
        <v>0</v>
      </c>
      <c r="AG18" s="873">
        <f t="shared" si="11"/>
        <v>0</v>
      </c>
      <c r="AH18" s="870">
        <f t="shared" si="11"/>
        <v>0</v>
      </c>
      <c r="AI18" s="865">
        <f t="shared" si="11"/>
        <v>116</v>
      </c>
      <c r="AJ18" s="867">
        <f t="shared" si="11"/>
        <v>0</v>
      </c>
      <c r="AK18" s="870">
        <f t="shared" si="11"/>
        <v>0</v>
      </c>
      <c r="AL18" s="874">
        <f>IF(ISNUMBER(NºAsuntos!G18/NºAsuntos!E18),NºAsuntos!G18/NºAsuntos!E18," - ")</f>
        <v>0.83441558441558439</v>
      </c>
      <c r="AM18" s="874">
        <f>IF(ISNUMBER(((NºAsuntos!I18/NºAsuntos!G18)*11)/factor_trimestre),((NºAsuntos!I18/NºAsuntos!G18)*11)/factor_trimestre," - ")</f>
        <v>8.7023346303501938</v>
      </c>
      <c r="AN18" s="875">
        <f>IF(ISNUMBER('Resol  Asuntos'!D18/NºAsuntos!G18),'Resol  Asuntos'!D18/NºAsuntos!G18," - ")</f>
        <v>0.22568093385214008</v>
      </c>
      <c r="AO18" s="876">
        <f>IF(ISNUMBER((NºAsuntos!C18+NºAsuntos!E18)/NºAsuntos!G18),(NºAsuntos!C18+NºAsuntos!E18)/NºAsuntos!G18," - ")</f>
        <v>3.8832684824902723</v>
      </c>
      <c r="AP18" s="877" t="str">
        <f t="shared" si="2"/>
        <v xml:space="preserve"> - </v>
      </c>
      <c r="AQ18" s="877">
        <f>IF(ISNUMBER((H18-W18+K18)/(F18)),(H18-W18+K18)/(F18)," - ")</f>
        <v>-0.41552142279708976</v>
      </c>
      <c r="AR18" s="878">
        <f>IF(ISNUMBER((Datos!P18-Datos!Q18)/(Datos!R18-Datos!P18+Datos!Q18)),(Datos!P18-Datos!Q18)/(Datos!R18-Datos!P18+Datos!Q18)," - ")</f>
        <v>4.6783625730994149E-2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1270</v>
      </c>
      <c r="G19" s="821">
        <f t="shared" si="13"/>
        <v>1413</v>
      </c>
      <c r="H19" s="820">
        <f t="shared" si="13"/>
        <v>0</v>
      </c>
      <c r="I19" s="822">
        <f t="shared" si="13"/>
        <v>0</v>
      </c>
      <c r="J19" s="822">
        <f t="shared" si="13"/>
        <v>0</v>
      </c>
      <c r="K19" s="881">
        <f t="shared" si="13"/>
        <v>0</v>
      </c>
      <c r="L19" s="822">
        <f t="shared" si="13"/>
        <v>335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518</v>
      </c>
      <c r="X19" s="821">
        <f t="shared" si="14"/>
        <v>224</v>
      </c>
      <c r="Y19" s="828">
        <f t="shared" si="14"/>
        <v>742</v>
      </c>
      <c r="Z19" s="828">
        <f t="shared" si="14"/>
        <v>0</v>
      </c>
      <c r="AA19" s="828">
        <f t="shared" si="14"/>
        <v>1525</v>
      </c>
      <c r="AB19" s="828">
        <f t="shared" si="14"/>
        <v>2762</v>
      </c>
      <c r="AC19" s="828">
        <f t="shared" si="14"/>
        <v>1709</v>
      </c>
      <c r="AD19" s="828">
        <f t="shared" si="14"/>
        <v>0</v>
      </c>
      <c r="AE19" s="830">
        <f t="shared" si="14"/>
        <v>0</v>
      </c>
      <c r="AF19" s="831">
        <f t="shared" si="14"/>
        <v>0</v>
      </c>
      <c r="AG19" s="832">
        <f t="shared" si="14"/>
        <v>0</v>
      </c>
      <c r="AH19" s="830">
        <f t="shared" si="14"/>
        <v>0</v>
      </c>
      <c r="AI19" s="820">
        <f t="shared" si="14"/>
        <v>362</v>
      </c>
      <c r="AJ19" s="820">
        <f t="shared" si="14"/>
        <v>0</v>
      </c>
      <c r="AK19" s="830">
        <f t="shared" si="14"/>
        <v>0</v>
      </c>
      <c r="AL19" s="884">
        <f>IF(ISNUMBER(NºAsuntos!G19/NºAsuntos!E19),NºAsuntos!G19/NºAsuntos!E19," - ")</f>
        <v>0.94013157894736843</v>
      </c>
      <c r="AM19" s="885">
        <f>IF(ISNUMBER(((NºAsuntos!I19/NºAsuntos!G19)*11)/factor_trimestre),((NºAsuntos!I19/NºAsuntos!G19)*11)/factor_trimestre," - ")</f>
        <v>9.6571028691392584</v>
      </c>
      <c r="AN19" s="885">
        <f>IF(ISNUMBER('Resol  Asuntos'!D19/NºAsuntos!G19),'Resol  Asuntos'!D19/NºAsuntos!G19," - ")</f>
        <v>0.25332400279916023</v>
      </c>
      <c r="AO19" s="886">
        <f>IF(ISNUMBER((NºAsuntos!C19+NºAsuntos!E19)/NºAsuntos!G19),(NºAsuntos!C19+NºAsuntos!E19)/NºAsuntos!G19," - ")</f>
        <v>4.2127361791462565</v>
      </c>
      <c r="AP19" s="887" t="str">
        <f t="shared" si="2"/>
        <v xml:space="preserve"> - </v>
      </c>
      <c r="AQ19" s="888">
        <f>IF(OR(ISNUMBER(FIND("01",Criterios!A8,1)),ISNUMBER(FIND("02",Criterios!A8,1)),ISNUMBER(FIND("03",Criterios!A8,1)),ISNUMBER(FIND("04",Criterios!A8,1))),(I19-W19+K19)/(F19-K19),(H19-W19+K19)/(F19-K19))</f>
        <v>-0.4078740157480315</v>
      </c>
      <c r="AR19" s="889">
        <f>IF(ISNUMBER((Datos!P19-Datos!Q19)/(Datos!R19-Datos!P19+Datos!Q19)),(Datos!P19-Datos!Q19)/(Datos!R19-Datos!P19+Datos!Q19)," - ")</f>
        <v>4.1870992078460956E-2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565.20000000000005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695.12972410430939</v>
      </c>
      <c r="G21" s="253">
        <f>IF(ISNUMBER(STDEV(G8:G18)),STDEV(G8:G18),"-")</f>
        <v>678.30870553163334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243.98504052502889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107.04703016275914</v>
      </c>
      <c r="AJ21" s="252">
        <f t="shared" si="18"/>
        <v>0</v>
      </c>
      <c r="AK21" s="254">
        <f t="shared" si="18"/>
        <v>0</v>
      </c>
      <c r="AL21" s="249">
        <f t="shared" si="18"/>
        <v>0.15875475247687257</v>
      </c>
      <c r="AM21" s="250">
        <f t="shared" si="18"/>
        <v>7.1848201604752466</v>
      </c>
      <c r="AN21" s="250">
        <f t="shared" si="18"/>
        <v>0.1239374600425886</v>
      </c>
      <c r="AO21" s="251">
        <f t="shared" si="18"/>
        <v>2.3974231344073069</v>
      </c>
      <c r="AP21" s="291" t="str">
        <f t="shared" si="18"/>
        <v>-</v>
      </c>
      <c r="AQ21" s="292">
        <f t="shared" si="18"/>
        <v>0.20810810291700804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t7hvcQa52rK1hudLsh9JJ+uuLAWOtueH5Le8n4S6wvb3CysxecEZslad+CDuusPKXvYPSZ1fLy5C7rAKA2BZAQ==" saltValue="44RTU4FZq3dkIrUHPRdI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VILAGARCIA DE AROUSA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-2.9411764705882353E-2</v>
      </c>
      <c r="E10" s="348">
        <f>IF(ISNUMBER((Datos!J10-Datos!T10)/Datos!T10),(Datos!J10-Datos!T10)/Datos!T10," - ")</f>
        <v>0.25</v>
      </c>
      <c r="F10" s="348">
        <f>IF(ISNUMBER((Datos!K10-Datos!U10)/Datos!U10),(Datos!K10-Datos!U10)/Datos!U10," - ")</f>
        <v>0</v>
      </c>
      <c r="G10" s="349">
        <f>IF(ISNUMBER((Datos!L10-Datos!V10)/Datos!V10),(Datos!L10-Datos!V10)/Datos!V10," - ")</f>
        <v>0</v>
      </c>
      <c r="H10" s="230">
        <f>IF(ISNUMBER((Datos!M10-Datos!W10)/Datos!W10),(Datos!M10-Datos!W10)/Datos!W10," - ")</f>
        <v>-0.33333333333333331</v>
      </c>
      <c r="I10" s="350">
        <f>IF(ISNUMBER((Tasas!C10-Datos!BE10)/Datos!BE10),(Tasas!C10-Datos!BE10)/Datos!BE10," - ")</f>
        <v>0</v>
      </c>
      <c r="J10" s="349">
        <f>IF(ISNUMBER((Tasas!D10-Datos!BF10)/Datos!BF10),(Tasas!D10-Datos!BF10)/Datos!BF10," - ")</f>
        <v>-0.33333333333333331</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1.6666666666666666E-2</v>
      </c>
      <c r="I12" s="350">
        <f>IF(ISNUMBER((Tasas!C12-Datos!BE12)/Datos!BE12),(Tasas!C12-Datos!BE12)/Datos!BE12," - ")</f>
        <v>-8.4746273270431313E-2</v>
      </c>
      <c r="J12" s="349">
        <f>IF(ISNUMBER((Tasas!D12-Datos!BF12)/Datos!BF12),(Tasas!D12-Datos!BF12)/Datos!BF12," - ")</f>
        <v>-0.37729647292506469</v>
      </c>
      <c r="K12" s="351">
        <f>IF(ISNUMBER((Tasas!E12-Datos!BG12)/Datos!BG12),(Tasas!E12-Datos!BG12)/Datos!BG12," - ")</f>
        <v>-6.6668810712102344E-2</v>
      </c>
      <c r="M12" t="e">
        <f>IF(Monitorios="SI",Datos!CE12,0)</f>
        <v>#REF!</v>
      </c>
      <c r="N12" t="e">
        <f>IF(Monitorios="SI",Datos!CF12,0)</f>
        <v>#REF!</v>
      </c>
      <c r="O12" t="e">
        <f>IF(Monitorios="SI",Datos!CG12,0)</f>
        <v>#REF!</v>
      </c>
      <c r="P12" t="e">
        <f>IF(Monitorios="SI",Datos!CH12,0)</f>
        <v>#REF!</v>
      </c>
      <c r="Q12">
        <f>IF(J_V="SI",0,Datos!AG12)</f>
        <v>113</v>
      </c>
      <c r="R12">
        <f>IF(J_V="SI",0,Datos!AH12)</f>
        <v>43</v>
      </c>
      <c r="S12">
        <f>IF(J_V="SI",0,Datos!AI12)</f>
        <v>56</v>
      </c>
      <c r="T12">
        <f>IF(J_V="SI",0,Datos!AJ12)</f>
        <v>100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1.2345679012345678E-2</v>
      </c>
      <c r="I13" s="357">
        <f>IF(ISNUMBER((Tasas!C13-Datos!BE13)/Datos!BE13),(Tasas!C13-Datos!BE13)/Datos!BE13," - ")</f>
        <v>-8.4401599618633943E-2</v>
      </c>
      <c r="J13" s="355">
        <f>IF(ISNUMBER((Tasas!D13-Datos!BF13)/Datos!BF13),(Tasas!D13-Datos!BF13)/Datos!BF13," - ")</f>
        <v>-0.37715846994535518</v>
      </c>
      <c r="K13" s="358">
        <f>IF(ISNUMBER((Tasas!E13-Datos!BG13)/Datos!BG13),(Tasas!E13-Datos!BG13)/Datos!BG13," - ")</f>
        <v>-6.6485861750998146E-2</v>
      </c>
      <c r="M13" t="e">
        <f>IF(Monitorios="SI",Datos!CE13,0)</f>
        <v>#REF!</v>
      </c>
      <c r="N13" t="e">
        <f>IF(Monitorios="SI",Datos!CF13,0)</f>
        <v>#REF!</v>
      </c>
      <c r="O13" t="e">
        <f>IF(Monitorios="SI",Datos!CG13,0)</f>
        <v>#REF!</v>
      </c>
      <c r="P13" t="e">
        <f>IF(Monitorios="SI",Datos!CH13,0)</f>
        <v>#REF!</v>
      </c>
      <c r="Q13">
        <f>IF(J_V="SI",0,Datos!AG13)</f>
        <v>113</v>
      </c>
      <c r="R13">
        <f>IF(J_V="SI",0,Datos!AH13)</f>
        <v>43</v>
      </c>
      <c r="S13">
        <f>IF(J_V="SI",0,Datos!AI13)</f>
        <v>56</v>
      </c>
      <c r="T13">
        <f>IF(J_V="SI",0,Datos!AJ13)</f>
        <v>100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-0.13764044943820225</v>
      </c>
      <c r="E16" s="348">
        <f>IF(ISNUMBER(
   IF(D_I="SI",(Datos!J16-Datos!T16)/Datos!T16,(Datos!J16+Datos!AD16-(Datos!T16+Datos!AL16))/(Datos!T16+Datos!AL16))
     ),IF(D_I="SI",(Datos!J16-Datos!T16)/Datos!T16,(Datos!J16+Datos!AD16-(Datos!T16+Datos!AL16))/(Datos!T16+Datos!AL16))," - ")</f>
        <v>7.1287128712871281E-2</v>
      </c>
      <c r="F16" s="348">
        <f>IF(ISNUMBER(
   IF(D_I="SI",(Datos!K16-Datos!U16)/Datos!U16,(Datos!K16+Datos!AE16-(Datos!U16+Datos!AM16))/(Datos!U16+Datos!AM16))
     ),IF(D_I="SI",(Datos!K16-Datos!U16)/Datos!U16,(Datos!K16+Datos!AE16-(Datos!U16+Datos!AM16))/(Datos!U16+Datos!AM16))," - ")</f>
        <v>4.1666666666666664E-2</v>
      </c>
      <c r="G16" s="349">
        <f>IF(ISNUMBER(
   IF(D_I="SI",(Datos!L16-Datos!V16)/Datos!V16,(Datos!L16+Datos!AF16-(Datos!V16+Datos!AN16))/(Datos!V16+Datos!AN16))
     ),IF(D_I="SI",(Datos!L16-Datos!V16)/Datos!V16,(Datos!L16+Datos!AF16-(Datos!V16+Datos!AN16))/(Datos!V16+Datos!AN16))," - ")</f>
        <v>-0.11045364891518737</v>
      </c>
      <c r="H16" s="230">
        <f>IF(ISNUMBER((Datos!M16-Datos!W16)/Datos!W16),(Datos!M16-Datos!W16)/Datos!W16," - ")</f>
        <v>-6.25E-2</v>
      </c>
      <c r="I16" s="350">
        <f>IF(ISNUMBER((Tasas!C16-Datos!BE16)/Datos!BE16),(Tasas!C16-Datos!BE16)/Datos!BE16," - ")</f>
        <v>-0.14603550295857989</v>
      </c>
      <c r="J16" s="349">
        <f>IF(ISNUMBER((Tasas!D16-Datos!BF16)/Datos!BF16),(Tasas!D16-Datos!BF16)/Datos!BF16," - ")</f>
        <v>-0.10000000000000005</v>
      </c>
      <c r="K16" s="351">
        <f>IF(ISNUMBER((Tasas!E16-Datos!BG16)/Datos!BG16),(Tasas!E16-Datos!BG16)/Datos!BG16," - ")</f>
        <v>-0.11962674961119749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-8.9820359281437126E-2</v>
      </c>
      <c r="E17" s="348">
        <f>IF(ISNUMBER(
   IF(D_I="SI",(Datos!J17-Datos!T17)/Datos!T17,(Datos!J17+Datos!AD17-(Datos!T17+Datos!AL17))/(Datos!T17+Datos!AL17))
     ),IF(D_I="SI",(Datos!J17-Datos!T17)/Datos!T17,(Datos!J17+Datos!AD17-(Datos!T17+Datos!AL17))/(Datos!T17+Datos!AL17))," - ")</f>
        <v>0.19047619047619047</v>
      </c>
      <c r="F17" s="348">
        <f>IF(ISNUMBER(
   IF(D_I="SI",(Datos!K17-Datos!U17)/Datos!U17,(Datos!K17+Datos!AE17-(Datos!U17+Datos!AM17))/(Datos!U17+Datos!AM17))
     ),IF(D_I="SI",(Datos!K17-Datos!U17)/Datos!U17,(Datos!K17+Datos!AE17-(Datos!U17+Datos!AM17))/(Datos!U17+Datos!AM17))," - ")</f>
        <v>-0.12745098039215685</v>
      </c>
      <c r="G17" s="349">
        <f>IF(ISNUMBER(
   IF(D_I="SI",(Datos!L17-Datos!V17)/Datos!V17,(Datos!L17+Datos!AF17-(Datos!V17+Datos!AN17))/(Datos!V17+Datos!AN17))
     ),IF(D_I="SI",(Datos!L17-Datos!V17)/Datos!V17,(Datos!L17+Datos!AF17-(Datos!V17+Datos!AN17))/(Datos!V17+Datos!AN17))," - ")</f>
        <v>7.8125E-2</v>
      </c>
      <c r="H17" s="230">
        <f>IF(ISNUMBER((Datos!M17-Datos!W17)/Datos!W17),(Datos!M17-Datos!W17)/Datos!W17," - ")</f>
        <v>0.22222222222222221</v>
      </c>
      <c r="I17" s="350">
        <f>IF(ISNUMBER((Tasas!C17-Datos!BE17)/Datos!BE17),(Tasas!C17-Datos!BE17)/Datos!BE17," - ")</f>
        <v>0.23560393258426968</v>
      </c>
      <c r="J17" s="349">
        <f>IF(ISNUMBER((Tasas!D17-Datos!BF17)/Datos!BF17),(Tasas!D17-Datos!BF17)/Datos!BF17," - ")</f>
        <v>0.40074906367041185</v>
      </c>
      <c r="K17" s="351">
        <f>IF(ISNUMBER((Tasas!E17-Datos!BG17)/Datos!BG17),(Tasas!E17-Datos!BG17)/Datos!BG17," - ")</f>
        <v>0.13111871030776737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-0.13262099308610936</v>
      </c>
      <c r="E18" s="354">
        <f>IF(ISNUMBER(
   IF(D_I="SI",(Datos!J18-Datos!T18)/Datos!T18,(Datos!J18+Datos!AD18-(Datos!T18+Datos!AL18))/(Datos!T18+Datos!AL18))
     ),IF(D_I="SI",(Datos!J18-Datos!T18)/Datos!T18,(Datos!J18+Datos!AD18-(Datos!T18+Datos!AL18))/(Datos!T18+Datos!AL18))," - ")</f>
        <v>8.4507042253521125E-2</v>
      </c>
      <c r="F18" s="354">
        <f>IF(ISNUMBER(
   IF(D_I="SI",(Datos!K18-Datos!U18)/Datos!U18,(Datos!K18+Datos!AE18-(Datos!U18+Datos!AM18))/(Datos!U18+Datos!AM18))
     ),IF(D_I="SI",(Datos!K18-Datos!U18)/Datos!U18,(Datos!K18+Datos!AE18-(Datos!U18+Datos!AM18))/(Datos!U18+Datos!AM18))," - ")</f>
        <v>7.8431372549019607E-3</v>
      </c>
      <c r="G18" s="355">
        <f>IF(ISNUMBER(
   IF(D_I="SI",(Datos!L18-Datos!V18)/Datos!V18,(Datos!L18+Datos!AF18-(Datos!V18+Datos!AN18))/(Datos!V18+Datos!AN18))
     ),IF(D_I="SI",(Datos!L18-Datos!V18)/Datos!V18,(Datos!L18+Datos!AF18-(Datos!V18+Datos!AN18))/(Datos!V18+Datos!AN18))," - ")</f>
        <v>-9.5815645845967259E-2</v>
      </c>
      <c r="H18" s="356">
        <f>IF(ISNUMBER((Datos!M18-Datos!W18)/Datos!W18),(Datos!M18-Datos!W18)/Datos!W18," - ")</f>
        <v>-4.1322314049586778E-2</v>
      </c>
      <c r="I18" s="357">
        <f>IF(ISNUMBER((Tasas!C18-Datos!BE18)/Datos!BE18),(Tasas!C18-Datos!BE18)/Datos!BE18," - ")</f>
        <v>-0.10285209996389752</v>
      </c>
      <c r="J18" s="355">
        <f>IF(ISNUMBER((Tasas!D18-Datos!BF18)/Datos!BF18),(Tasas!D18-Datos!BF18)/Datos!BF18," - ")</f>
        <v>-4.8782840788500446E-2</v>
      </c>
      <c r="K18" s="358">
        <f>IF(ISNUMBER((Tasas!E18-Datos!BG18)/Datos!BG18),(Tasas!E18-Datos!BG18)/Datos!BG18," - ")</f>
        <v>-8.2692484451116779E-2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-3.825603761487497E-2</v>
      </c>
      <c r="E19" s="363">
        <f>IF(ISNUMBER(
   IF(J_V="SI",(Datos!J19-Datos!T19)/Datos!T19,(Datos!J19+Datos!Z19-(Datos!T19+Datos!AH19))/(Datos!T19+Datos!AH19))
     ),IF(J_V="SI",(Datos!J19-Datos!T19)/Datos!T19,(Datos!J19+Datos!Z19-(Datos!T19+Datos!AH19))/(Datos!T19+Datos!AH19))," - ")</f>
        <v>7.877927608232789E-2</v>
      </c>
      <c r="F19" s="363">
        <f>IF(ISNUMBER(
   IF(J_V="SI",(Datos!K19-Datos!U19)/Datos!U19,(Datos!K19+Datos!AA19-(Datos!U19+Datos!AI19))/(Datos!U19+Datos!AI19))
     ),IF(J_V="SI",(Datos!K19-Datos!U19)/Datos!U19,(Datos!K19+Datos!AA19-(Datos!U19+Datos!AI19))/(Datos!U19+Datos!AI19))," - ")</f>
        <v>6.3244047619047616E-2</v>
      </c>
      <c r="G19" s="364">
        <f>IF(ISNUMBER(
   IF(J_V="SI",(Datos!L19-Datos!V19)/Datos!V19,(Datos!L19+Datos!AB19-(Datos!V19+Datos!AJ19))/(Datos!V19+Datos!AJ19))
     ),IF(J_V="SI",(Datos!L19-Datos!V19)/Datos!V19,(Datos!L19+Datos!AB19-(Datos!V19+Datos!AJ19))/(Datos!V19+Datos!AJ19))," - ")</f>
        <v>-3.0354131534569982E-2</v>
      </c>
      <c r="H19" s="365">
        <f>IF(ISNUMBER((Datos!M19-Datos!W19)/Datos!W19),(Datos!M19-Datos!W19)/Datos!W19," - ")</f>
        <v>-5.4945054945054949E-3</v>
      </c>
      <c r="I19" s="362">
        <f>IF(ISNUMBER((Tasas!C19-Datos!BE19)/Datos!BE19),(Tasas!C19-Datos!BE19)/Datos!BE19," - ")</f>
        <v>-8.8030757720407277E-2</v>
      </c>
      <c r="J19" s="363">
        <f>IF(ISNUMBER((Tasas!D19-Datos!BF19)/Datos!BF19),(Tasas!D19-Datos!BF19)/Datos!BF19," - ")</f>
        <v>-0.29216744332209699</v>
      </c>
      <c r="K19" s="364">
        <f>IF(ISNUMBER((Tasas!E19-Datos!BG19)/Datos!BG19),(Tasas!E19-Datos!BG19)/Datos!BG19," - ")</f>
        <v>-6.9987282396095862E-2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5.0132026971352425E-2</v>
      </c>
      <c r="E21" s="278">
        <f t="shared" si="1"/>
        <v>8.586789866837849E-2</v>
      </c>
      <c r="F21" s="278">
        <f t="shared" si="1"/>
        <v>7.4212917942515111E-2</v>
      </c>
      <c r="G21" s="279">
        <f t="shared" si="1"/>
        <v>8.827782300329054E-2</v>
      </c>
      <c r="H21" s="285">
        <f t="shared" si="1"/>
        <v>0.17931909903912685</v>
      </c>
      <c r="I21" s="277">
        <f t="shared" si="1"/>
        <v>0.13868872953335859</v>
      </c>
      <c r="J21" s="278">
        <f t="shared" si="1"/>
        <v>0.3007519723945003</v>
      </c>
      <c r="K21" s="279">
        <f t="shared" si="1"/>
        <v>8.9716941727142396E-2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bgTjbTRQENKciDtrrsY2DczVGmwSiSuI65iit4iNMG+xOb/6tW0jahvJ7p5UoQ4eFmsSbo8QFEUYn/iH0DtQg==" saltValue="MdSz0VKAfcPI64teMrb7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